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4.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namedSheetViews/namedSheetView2.xml" ContentType="application/vnd.ms-excel.namedsheetviews+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hreadedComments/threadedComment1.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ptimcorp-my.sharepoint.com/personal/spencer_kurtz_aptim_com/Documents/Desktop/ELL Program Files/Program Template Docs &amp; Calculators/2025 Template Calculators/"/>
    </mc:Choice>
  </mc:AlternateContent>
  <xr:revisionPtr revIDLastSave="34" documentId="8_{0679F7F6-CB34-4D77-8554-F677437C9891}" xr6:coauthVersionLast="47" xr6:coauthVersionMax="47" xr10:uidLastSave="{353086A6-722E-4797-958E-B5383B14AE36}"/>
  <workbookProtection workbookAlgorithmName="SHA-512" workbookHashValue="IpzL5VwV6Ef3hsWw01Rfdyuh7IS3Sxx/HcbDMnwEBVpswyn4dy6WXW9rrM1u8yAKatu0cnBM07GcEXnucuce7A==" workbookSaltValue="XAITh3KnIghluekejoUG9w==" workbookSpinCount="100000" lockStructure="1"/>
  <bookViews>
    <workbookView xWindow="28680" yWindow="-120" windowWidth="29040" windowHeight="15840" xr2:uid="{82F6A19B-5495-4F11-A89F-59BCA2D50EC3}"/>
  </bookViews>
  <sheets>
    <sheet name="Intro" sheetId="61" r:id="rId1"/>
    <sheet name="Application" sheetId="37" r:id="rId2"/>
    <sheet name="A-C &amp; Heat Pumps" sheetId="1" r:id="rId3"/>
    <sheet name="Chillers" sheetId="60" r:id="rId4"/>
    <sheet name="Chiller Data Measurements" sheetId="62" r:id="rId5"/>
    <sheet name="Summary" sheetId="26" r:id="rId6"/>
    <sheet name="Completion" sheetId="52" r:id="rId7"/>
    <sheet name="References" sheetId="22" state="hidden" r:id="rId8"/>
    <sheet name="HVAC Calcs" sheetId="58" state="hidden" r:id="rId9"/>
    <sheet name="Caps" sheetId="51" state="hidden" r:id="rId10"/>
    <sheet name="QC" sheetId="33" state="hidden" r:id="rId11"/>
    <sheet name="Proj Data" sheetId="53" state="hidden" r:id="rId12"/>
    <sheet name="APTracks Export Data" sheetId="28" state="hidden" r:id="rId13"/>
  </sheets>
  <externalReferences>
    <externalReference r:id="rId14"/>
    <externalReference r:id="rId15"/>
    <externalReference r:id="rId16"/>
    <externalReference r:id="rId17"/>
    <externalReference r:id="rId18"/>
    <externalReference r:id="rId19"/>
  </externalReferences>
  <definedNames>
    <definedName name="_xlnm._FilterDatabase" localSheetId="12" hidden="1">'APTracks Export Data'!$A$1:$L$212</definedName>
    <definedName name="Gross_Proj_Cost" localSheetId="4">[1]Summary!$C$11</definedName>
    <definedName name="Gross_Proj_Cost" localSheetId="0">[2]Summary!$C$11</definedName>
    <definedName name="Gross_Proj_Cost">Summary!$C$12</definedName>
    <definedName name="HighTemp" localSheetId="4">[3]Lookups!$V$3:$V$4</definedName>
    <definedName name="HighTemp">[4]Lookups!$V$3:$V$4</definedName>
    <definedName name="Input_AvgkWhRate" localSheetId="4">[1]Application!$F$27</definedName>
    <definedName name="Input_AvgkWhRate" localSheetId="0">[2]Application!$F$27</definedName>
    <definedName name="Input_AvgkWhRate">Application!$F$28</definedName>
    <definedName name="Input_BldgType">Application!$F$29</definedName>
    <definedName name="Input_Bonus">QC!$F$18</definedName>
    <definedName name="Input_BonusMeasureNumber">QC!$G$18</definedName>
    <definedName name="Input_HVACType">Application!$F$30</definedName>
    <definedName name="Input_ProgramType" localSheetId="4">[1]Application!$F$10</definedName>
    <definedName name="Input_ProgramType" localSheetId="0">[2]Application!$F$10</definedName>
    <definedName name="Input_ProgramType">Application!$F$11</definedName>
    <definedName name="Input_ProjectNumber" localSheetId="4">[1]QC!$B$1</definedName>
    <definedName name="Input_ProjectNumber" localSheetId="0">[2]QC!$B$1</definedName>
    <definedName name="Input_ProjectNumber">QC!$B$1</definedName>
    <definedName name="Input_Usage" localSheetId="4">[1]QC!$B$2</definedName>
    <definedName name="Input_Usage" localSheetId="0">[2]QC!$B$2</definedName>
    <definedName name="Input_Usage">QC!$B$2</definedName>
    <definedName name="List_ACUnitMeasures" localSheetId="4">[3]Lookups!$J$48:$J$52</definedName>
    <definedName name="List_ACUnitMeasures">[4]Lookups!$J$48:$J$52</definedName>
    <definedName name="List_Biz_Class" localSheetId="4">[1]References!$AA$4:$AA$10</definedName>
    <definedName name="List_Biz_Class" localSheetId="0">[2]References!$Z$4:$Z$10</definedName>
    <definedName name="List_Biz_Class">References!$AC$4:$AC$10</definedName>
    <definedName name="List_Bldg_Types" localSheetId="4">[1]References!$AI$4:$AI$36</definedName>
    <definedName name="List_Bldg_Types" localSheetId="0">[2]References!$AH$4:$AH$36</definedName>
    <definedName name="List_Bldg_Types">References!$AK$4:$AK$36</definedName>
    <definedName name="List_BldgTypes" localSheetId="4">[3]Lookups!$J$14:$J$25</definedName>
    <definedName name="List_BldgTypes">[4]Lookups!$J$14:$J$25</definedName>
    <definedName name="List_ComKitch_Measure" localSheetId="0">[2]References!$AP$4:$AP$10</definedName>
    <definedName name="List_ComKitch_Measure">References!$AS$4:$AS$10</definedName>
    <definedName name="List_Contacts" localSheetId="4">[1]References!$AL$4:$AL$7</definedName>
    <definedName name="List_Contacts" localSheetId="0">[2]References!$AK$4:$AK$7</definedName>
    <definedName name="List_Contacts">References!$AN$4:$AN$7</definedName>
    <definedName name="List_ConvectionOven" localSheetId="4">[3]Lookups!$V$7:$V$8</definedName>
    <definedName name="List_ConvectionOven">[4]Lookups!$V$7:$V$8</definedName>
    <definedName name="List_CurtainType" localSheetId="4">[3]Lookups!$T$31:$T$37</definedName>
    <definedName name="List_CurtainType">[4]Lookups!$T$31:$T$37</definedName>
    <definedName name="List_Custom_Class" localSheetId="0">[2]References!$AW$4:$AW$41</definedName>
    <definedName name="List_Custom_Class">References!$AZ$4:$AZ$41</definedName>
    <definedName name="List_Custom_HVAC" localSheetId="0">[2]References!$AX$4:$AX$6</definedName>
    <definedName name="List_Custom_HVAC">References!$BA$4:$BA$6</definedName>
    <definedName name="List_Custom_Type" localSheetId="0">[2]References!$AV$4:$AV$6</definedName>
    <definedName name="List_Custom_Type">References!$AY$4:$AY$6</definedName>
    <definedName name="List_CustomClass" localSheetId="4">[3]Lookups!$AA$7:$AA$16</definedName>
    <definedName name="List_CustomClass">[4]Lookups!$AA$7:$AA$16</definedName>
    <definedName name="List_CustomTypes" localSheetId="4">[3]Lookups!$AA$3:$AA$4</definedName>
    <definedName name="List_CustomTypes">[4]Lookups!$AA$3:$AA$4</definedName>
    <definedName name="List_DBE_Option" localSheetId="4">[1]References!$AE$4:$AE$14</definedName>
    <definedName name="List_DBE_Option" localSheetId="0">[2]References!$AD$4:$AD$14</definedName>
    <definedName name="List_DBE_Option">References!$AG$4:$AG$14</definedName>
    <definedName name="List_EffWindow_Direction" localSheetId="0">[2]References!$AU$4:$AU$7</definedName>
    <definedName name="List_EffWindow_Direction">References!$AX$4:$AX$7</definedName>
    <definedName name="List_EffWindow_Measure" localSheetId="0">[2]References!$AR$4:$AR$5</definedName>
    <definedName name="List_EffWindow_Measure">References!$AU$4:$AU$5</definedName>
    <definedName name="List_HPUnitMeasures" localSheetId="4">[3]Lookups!$J$55:$J$59</definedName>
    <definedName name="List_HPUnitMeasures">[4]Lookups!$J$55:$J$59</definedName>
    <definedName name="List_HVAC" localSheetId="4">[1]References!$AJ$4:$AJ$10</definedName>
    <definedName name="List_HVAC" localSheetId="0">[2]References!$AI$4:$AI$10</definedName>
    <definedName name="List_HVAC">References!$AL$4:$AL$10</definedName>
    <definedName name="List_HVAC_Measure" localSheetId="0">[2]References!$AN$4:$AN$13</definedName>
    <definedName name="List_HVAC_Measure">References!$AQ$4:$AQ$24</definedName>
    <definedName name="List_HVACTypes" localSheetId="4">[3]Lookups!$B$58:$B$64</definedName>
    <definedName name="List_HVACTypes">[4]Lookups!$B$58:$B$64</definedName>
    <definedName name="List_Install_Type" localSheetId="4">[1]References!$AG$4:$AG$7</definedName>
    <definedName name="List_Install_Type" localSheetId="0">[2]References!$AF$4:$AF$7</definedName>
    <definedName name="List_Install_Type">References!$AI$4:$AI$7</definedName>
    <definedName name="List_LowFlowBldgTypes" localSheetId="4">[3]Lookups!$Y$3:$Y$10</definedName>
    <definedName name="List_LowFlowBldgTypes">[4]Lookups!$Y$3:$Y$10</definedName>
    <definedName name="List_Misc_Measure" localSheetId="0">[2]References!$AS$4:$AS$7</definedName>
    <definedName name="List_Misc_Measure">References!$AV$4:$AV$7</definedName>
    <definedName name="List_Ownership">References!$AJ$4:$AJ$5</definedName>
    <definedName name="List_PC" localSheetId="4">'[3]Savings Lookups'!$AE$11:$AE$13</definedName>
    <definedName name="List_PC">'[4]Savings Lookups'!$AE$11:$AE$13</definedName>
    <definedName name="List_Program_Names" localSheetId="4">[1]!Table_Programs_Rates[List_Programs]</definedName>
    <definedName name="List_Program_Names" localSheetId="3">Table_Programs_Rates[List_Programs]</definedName>
    <definedName name="List_Program_Names" localSheetId="0">[2]!Table_Programs_Rates[List_Programs]</definedName>
    <definedName name="List_Program_Names">Table_Programs_Rates[List_Programs]</definedName>
    <definedName name="List_ProgramNames" localSheetId="4">[3]Lookups!$B$3:$B$4</definedName>
    <definedName name="List_ProgramNames">[4]Lookups!$B$3:$B$4</definedName>
    <definedName name="List_Project_Stage" localSheetId="4">[1]References!$AF$4:$AF$5</definedName>
    <definedName name="List_Project_Stage" localSheetId="0">[2]References!$AE$4:$AE$5</definedName>
    <definedName name="List_Project_Stage">References!$AH$4:$AH$5</definedName>
    <definedName name="List_ProjectStage" localSheetId="4">[3]Lookups!$B$54:$B$55</definedName>
    <definedName name="List_ProjectStage">[4]Lookups!$B$54:$B$55</definedName>
    <definedName name="List_PRSV" localSheetId="4">[3]Lookups!$Y$13:$Y$18</definedName>
    <definedName name="List_PRSV">[4]Lookups!$Y$13:$Y$18</definedName>
    <definedName name="List_Refrig_Measure" localSheetId="0">[2]References!$AO$4:$AO$18</definedName>
    <definedName name="List_Refrig_Measure">References!$AR$4:$AR$18</definedName>
    <definedName name="List_Refrigeration" localSheetId="4">[3]Lookups!$T$3:$T$4</definedName>
    <definedName name="List_Refrigeration">[4]Lookups!$T$3:$T$4</definedName>
    <definedName name="List_RefrSizes" localSheetId="4">[3]Lookups!$T$21:$T$24</definedName>
    <definedName name="List_RefrSizes">[4]Lookups!$T$21:$T$24</definedName>
    <definedName name="List_Showerhead" localSheetId="4">[3]Lookups!$Y$21:$Y$26</definedName>
    <definedName name="List_Showerhead">[4]Lookups!$Y$21:$Y$26</definedName>
    <definedName name="List_Source" localSheetId="4">[1]References!$AM$4:$AM$13</definedName>
    <definedName name="List_Source" localSheetId="0">[2]References!$AL$4:$AL$13</definedName>
    <definedName name="List_Source">References!$AO$4:$AO$13</definedName>
    <definedName name="List_StripCurtainBaseline" localSheetId="4">[3]Lookups!$T$40:$T$42</definedName>
    <definedName name="List_StripCurtainBaseline">[4]Lookups!$T$40:$T$42</definedName>
    <definedName name="List_Tax_Entity" localSheetId="4">[1]References!$AB$4:$AB$9</definedName>
    <definedName name="List_Tax_Entity" localSheetId="0">[2]References!$AA$4:$AA$9</definedName>
    <definedName name="List_Tax_Entity">References!$AD$4:$AD$9</definedName>
    <definedName name="List_Water_Heating" localSheetId="4">[1]References!$AK$4:$AK$10</definedName>
    <definedName name="List_Water_Heating" localSheetId="0">[2]References!$AJ$4:$AJ$10</definedName>
    <definedName name="List_Water_Heating">References!$AM$4:$AM$10</definedName>
    <definedName name="List_WinFilm_Direction" localSheetId="0">[2]References!$AT$4:$AT$6</definedName>
    <definedName name="List_WinFilm_Direction">References!$AW$4:$AW$6</definedName>
    <definedName name="List_WinFilm_Measure" localSheetId="0">[2]References!$AQ$4:$AQ$6</definedName>
    <definedName name="List_WinFilm_Measure">References!$AT$4:$AT$6</definedName>
    <definedName name="List_Y_N" localSheetId="4">[1]References!$AD$4:$AD$5</definedName>
    <definedName name="List_Y_N">References!$AF$4:$AF$5</definedName>
    <definedName name="List_Y_N_U" localSheetId="4">[1]References!$AC$4:$AC$6</definedName>
    <definedName name="List_Y_N_U" localSheetId="0">[2]References!$AB$4:$AB$6</definedName>
    <definedName name="List_Y_N_U">References!$AE$4:$AE$6</definedName>
    <definedName name="Net_Project_Cost" localSheetId="4">[1]Summary!$E$11</definedName>
    <definedName name="Net_Project_Cost" localSheetId="0">[2]Summary!$E$11</definedName>
    <definedName name="Net_Project_Cost">Summary!$E$12</definedName>
    <definedName name="ProgramNumber" localSheetId="0">[5]Library!$R$3</definedName>
    <definedName name="ProgramNumber">[6]Library!$R$3</definedName>
    <definedName name="Project_Energy_Savings" localSheetId="4">[1]Summary!$F$11</definedName>
    <definedName name="Project_Energy_Savings" localSheetId="0">[2]Summary!$F$11</definedName>
    <definedName name="Project_Energy_Savings">Summary!$F$12</definedName>
    <definedName name="Subtotal_Bonus" localSheetId="4">[3]Summary!#REF!</definedName>
    <definedName name="Subtotal_Bonus">[4]Summary!#REF!</definedName>
    <definedName name="Subtotal_CustomIncentive">QC!$C$18</definedName>
    <definedName name="Subtotal_Incentive" localSheetId="4">[3]QC!$D$19</definedName>
    <definedName name="Subtotal_Incentive">[4]QC!$D$19</definedName>
    <definedName name="Subtotal_OtherCosts" localSheetId="4">SUM([1]Summary!#REF!)</definedName>
    <definedName name="Subtotal_OtherCosts" localSheetId="0">SUM([2]Summary!#REF!)</definedName>
    <definedName name="Subtotal_OtherCosts">SUM(Summary!#REF!)</definedName>
    <definedName name="Subtotal_PrescriptiveIncentive" localSheetId="4">[3]QC!$B$19</definedName>
    <definedName name="Subtotal_PrescriptiveIncentive">[4]QC!$B$19</definedName>
    <definedName name="Table_ACHPFactors" localSheetId="4">[3]Lookups!$J$3:$R$11</definedName>
    <definedName name="Table_ACHPFactors">[4]Lookups!$J$3:$R$11</definedName>
    <definedName name="Table_ACTU" localSheetId="4">'[3]Savings Lookups'!$B$23:$F$25</definedName>
    <definedName name="Table_ACTU">'[4]Savings Lookups'!$B$23:$F$25</definedName>
    <definedName name="Table_ACTUFactors" localSheetId="4">[3]Lookups!$J$27:$P$30</definedName>
    <definedName name="Table_ACTUFactors">[4]Lookups!$J$27:$P$30</definedName>
    <definedName name="Table_Aerators" localSheetId="4">'[3]Savings Lookups'!$U$2:$W$10</definedName>
    <definedName name="Table_Aerators">'[4]Savings Lookups'!$U$2:$W$10</definedName>
    <definedName name="Table_APS" localSheetId="4">'[3]Savings Lookups'!$AE$6:$AH$8</definedName>
    <definedName name="Table_APS">'[4]Savings Lookups'!$AE$6:$AH$8</definedName>
    <definedName name="Table_ASHC" localSheetId="4">'[3]Savings Lookups'!$H$11:$J$14</definedName>
    <definedName name="Table_ASHC">'[4]Savings Lookups'!$H$11:$J$14</definedName>
    <definedName name="Table_ChillerFactors" localSheetId="4">[3]Lookups!$J$33:$P$43</definedName>
    <definedName name="Table_ChillerFactors">[4]Lookups!$J$33:$P$43</definedName>
    <definedName name="Table_Chillers" localSheetId="4">'[3]Savings Lookups'!$B$30:$D$39</definedName>
    <definedName name="Table_Chillers">'[4]Savings Lookups'!$B$30:$D$39</definedName>
    <definedName name="Table_CombinationOven" localSheetId="4">'[3]Savings Lookups'!$N$33:$P$35</definedName>
    <definedName name="Table_CombinationOven">'[4]Savings Lookups'!$N$33:$P$35</definedName>
    <definedName name="Table_ConvectionOven" localSheetId="4">'[3]Savings Lookups'!$N$28:$P$30</definedName>
    <definedName name="Table_ConvectionOven">'[4]Savings Lookups'!$N$28:$P$30</definedName>
    <definedName name="Table_CustomMeasureNames" localSheetId="4">[3]Lookups!$AC$2:$AD$111</definedName>
    <definedName name="Table_CustomMeasureNames">[4]Lookups!$AC$2:$AD$111</definedName>
    <definedName name="Table_Dishwashers" localSheetId="4">'[3]Savings Lookups'!$N$2:$S$25</definedName>
    <definedName name="Table_Dishwashers">'[4]Savings Lookups'!$N$2:$S$25</definedName>
    <definedName name="Table_DuctSealing" localSheetId="4">'[3]Savings Lookups'!$B$47:$D$48</definedName>
    <definedName name="Table_DuctSealing">'[4]Savings Lookups'!$B$47:$D$48</definedName>
    <definedName name="Table_ECMHVACFan" localSheetId="4">'[3]Savings Lookups'!$B$42:$D$42</definedName>
    <definedName name="Table_ECMHVACFan">'[4]Savings Lookups'!$B$42:$D$42</definedName>
    <definedName name="Table_ECMRefrFan" localSheetId="4">'[3]Savings Lookups'!$H$2:$J$4</definedName>
    <definedName name="Table_ECMRefrFan">'[4]Savings Lookups'!$H$2:$J$4</definedName>
    <definedName name="Table_EFLH" localSheetId="4">[3]Lookups!$J$13:$M$25</definedName>
    <definedName name="Table_EFLH">[4]Lookups!$J$13:$M$25</definedName>
    <definedName name="Table_ESRefrigerators" localSheetId="4">'[3]Savings Lookups'!$H$27:$L$35</definedName>
    <definedName name="Table_ESRefrigerators">'[4]Savings Lookups'!$H$27:$L$35</definedName>
    <definedName name="Table_EvapFanControls" localSheetId="4">'[3]Savings Lookups'!$H$6:$J$9</definedName>
    <definedName name="Table_EvapFanControls">'[4]Savings Lookups'!$H$6:$J$9</definedName>
    <definedName name="Table_GREM" localSheetId="4">'[3]Savings Lookups'!$B$44:$D$45</definedName>
    <definedName name="Table_GREM">'[4]Savings Lookups'!$B$44:$D$45</definedName>
    <definedName name="Table_IceMaker" localSheetId="4">'[3]Savings Lookups'!$N$44:$P$50</definedName>
    <definedName name="Table_IceMaker">'[4]Savings Lookups'!$N$44:$P$50</definedName>
    <definedName name="Table_Measures" localSheetId="4">[3]Lookups!$B$6:$G$51</definedName>
    <definedName name="Table_Measures">[4]Lookups!$B$6:$G$51</definedName>
    <definedName name="Table_NightCovers" localSheetId="4">'[3]Savings Lookups'!$H$16:$J$25</definedName>
    <definedName name="Table_NightCovers">'[4]Savings Lookups'!$H$16:$J$25</definedName>
    <definedName name="Table_PCPowerMgmt" localSheetId="4">'[3]Savings Lookups'!$AE$10:$AG$13</definedName>
    <definedName name="Table_PCPowerMgmt">'[4]Savings Lookups'!$AE$10:$AG$13</definedName>
    <definedName name="Table_PRSV" localSheetId="4">'[3]Savings Lookups'!$U$43:$W$49</definedName>
    <definedName name="Table_PRSV">'[4]Savings Lookups'!$U$43:$W$49</definedName>
    <definedName name="Table_RTUFactors" localSheetId="4">[3]Lookups!$J$3:$M$11</definedName>
    <definedName name="Table_RTUFactors">[4]Lookups!$J$3:$M$11</definedName>
    <definedName name="Table_Showerhead" localSheetId="4">'[3]Savings Lookups'!$U$78:$W$84</definedName>
    <definedName name="Table_Showerhead">'[4]Savings Lookups'!$U$78:$W$84</definedName>
    <definedName name="Table_SteamCooker" localSheetId="4">'[3]Savings Lookups'!$N$37:$P$41</definedName>
    <definedName name="Table_SteamCooker">'[4]Savings Lookups'!$N$37:$P$41</definedName>
    <definedName name="Table_StripCurtains" localSheetId="4">'[3]Savings Lookups'!$H$37:$L$58</definedName>
    <definedName name="Table_StripCurtains">'[4]Savings Lookups'!$H$37:$L$58</definedName>
    <definedName name="Total_Incentive" localSheetId="4">[1]Summary!$D$11</definedName>
    <definedName name="Total_Incentive" localSheetId="0">[2]Summary!$D$11</definedName>
    <definedName name="Total_Incentive">Summary!$D$12</definedName>
    <definedName name="Total_ProjectCost" localSheetId="4">[3]Summary!$C$12</definedName>
    <definedName name="Total_ProjectCost">[4]Summary!$C$12</definedName>
    <definedName name="Value_Application_Version" localSheetId="4">[1]References!$B$8</definedName>
    <definedName name="Value_Application_Version" localSheetId="0">[2]References!$B$8</definedName>
    <definedName name="Value_Application_Version">References!$B$8</definedName>
    <definedName name="Value_Bonus_Rate">References!$B$9</definedName>
    <definedName name="Value_CalcVersion" localSheetId="4">'[3]Fillable application &amp; instruct'!$J$17</definedName>
    <definedName name="Value_CalcVersion">'[4]Fillable application &amp; instruct'!$J$17</definedName>
    <definedName name="Value_Cus_IncentRate" localSheetId="0">[2]References!$B$6</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 localSheetId="4">[3]QC!$G$21</definedName>
    <definedName name="Value_Max_Incentive">[4]QC!$G$21</definedName>
    <definedName name="Value_Measure_CAP">References!$B$4</definedName>
    <definedName name="Value_Project_CAP" localSheetId="4">[1]References!$B$3</definedName>
    <definedName name="Value_Project_CAP" localSheetId="0">[2]References!$B$3</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22" l="1"/>
  <c r="Q23" i="22"/>
  <c r="Q24" i="22"/>
  <c r="Q25" i="22"/>
  <c r="Q26" i="22"/>
  <c r="Q27" i="22"/>
  <c r="Q28" i="22"/>
  <c r="Q29" i="22"/>
  <c r="Q30" i="22"/>
  <c r="Q31" i="22"/>
  <c r="Q32" i="22"/>
  <c r="Q33" i="22"/>
  <c r="Q34" i="22"/>
  <c r="Q35" i="22"/>
  <c r="Q36" i="22"/>
  <c r="Q37" i="22"/>
  <c r="Q38" i="22"/>
  <c r="Q39" i="22"/>
  <c r="Q40" i="22"/>
  <c r="Q41" i="22"/>
  <c r="Q42" i="22"/>
  <c r="Q43" i="22"/>
  <c r="Q44" i="22"/>
  <c r="Q45" i="22"/>
  <c r="Q46" i="22"/>
  <c r="Q47" i="22"/>
  <c r="Q48" i="22"/>
  <c r="Q49" i="22"/>
  <c r="Q50" i="22"/>
  <c r="Q51" i="22"/>
  <c r="Q52" i="22"/>
  <c r="Q53" i="22"/>
  <c r="Q54" i="22"/>
  <c r="Q55" i="22"/>
  <c r="Q56" i="22"/>
  <c r="Q57" i="22"/>
  <c r="Q58" i="22"/>
  <c r="Q59" i="22"/>
  <c r="Q60" i="22"/>
  <c r="Q61" i="22"/>
  <c r="Q62" i="22"/>
  <c r="Q63" i="22"/>
  <c r="Q64" i="22"/>
  <c r="Q65" i="22"/>
  <c r="Q66" i="22"/>
  <c r="Q67" i="22"/>
  <c r="Q68" i="22"/>
  <c r="Q69" i="22"/>
  <c r="Q70" i="22"/>
  <c r="Q71" i="22"/>
  <c r="Q72" i="22"/>
  <c r="Q73" i="22"/>
  <c r="Q74" i="22"/>
  <c r="Q75" i="22"/>
  <c r="Q76" i="22"/>
  <c r="Q77" i="22"/>
  <c r="Q78" i="22"/>
  <c r="Q79" i="22"/>
  <c r="Q80" i="22"/>
  <c r="Q81" i="22"/>
  <c r="Q82" i="22"/>
  <c r="Q83" i="22"/>
  <c r="Q84" i="22"/>
  <c r="Q85" i="22"/>
  <c r="Q86" i="22"/>
  <c r="Q87" i="22"/>
  <c r="Q88" i="22"/>
  <c r="Q89" i="22"/>
  <c r="Q90" i="22"/>
  <c r="Q91" i="22"/>
  <c r="Q92" i="22"/>
  <c r="Q93" i="22"/>
  <c r="Q94" i="22"/>
  <c r="Q95" i="22"/>
  <c r="Q96" i="22"/>
  <c r="Q97" i="22"/>
  <c r="Q98" i="22"/>
  <c r="P22" i="22"/>
  <c r="P23" i="22"/>
  <c r="P24" i="22"/>
  <c r="P25" i="22"/>
  <c r="P26" i="22"/>
  <c r="P27" i="22"/>
  <c r="P28" i="22"/>
  <c r="P29" i="22"/>
  <c r="P30" i="22"/>
  <c r="P31" i="22"/>
  <c r="P32" i="22"/>
  <c r="P33" i="22"/>
  <c r="P34" i="22"/>
  <c r="P35" i="22"/>
  <c r="P36" i="22"/>
  <c r="P37" i="22"/>
  <c r="P38" i="22"/>
  <c r="P39" i="22"/>
  <c r="P40" i="22"/>
  <c r="P41" i="22"/>
  <c r="P42" i="22"/>
  <c r="P43" i="22"/>
  <c r="P44" i="22"/>
  <c r="P45" i="22"/>
  <c r="P46" i="22"/>
  <c r="P47" i="22"/>
  <c r="P48" i="22"/>
  <c r="P49" i="22"/>
  <c r="P50" i="22"/>
  <c r="P51" i="22"/>
  <c r="P52" i="22"/>
  <c r="P53" i="22"/>
  <c r="P54" i="22"/>
  <c r="P55" i="22"/>
  <c r="P56" i="22"/>
  <c r="P57" i="22"/>
  <c r="P58" i="22"/>
  <c r="P59" i="22"/>
  <c r="P60" i="22"/>
  <c r="P61" i="22"/>
  <c r="P62" i="22"/>
  <c r="P63" i="22"/>
  <c r="P64" i="22"/>
  <c r="P65" i="22"/>
  <c r="P66" i="22"/>
  <c r="P67" i="22"/>
  <c r="P68" i="22"/>
  <c r="P69" i="22"/>
  <c r="P70" i="22"/>
  <c r="P71" i="22"/>
  <c r="P72" i="22"/>
  <c r="P73" i="22"/>
  <c r="P74" i="22"/>
  <c r="P75" i="22"/>
  <c r="P76" i="22"/>
  <c r="P77" i="22"/>
  <c r="P78" i="22"/>
  <c r="P79" i="22"/>
  <c r="P80" i="22"/>
  <c r="P81" i="22"/>
  <c r="P82" i="22"/>
  <c r="P83" i="22"/>
  <c r="P84" i="22"/>
  <c r="P85" i="22"/>
  <c r="P86" i="22"/>
  <c r="P87" i="22"/>
  <c r="P88" i="22"/>
  <c r="P89" i="22"/>
  <c r="P90" i="22"/>
  <c r="P91" i="22"/>
  <c r="P92" i="22"/>
  <c r="P93" i="22"/>
  <c r="P94" i="22"/>
  <c r="P95" i="22"/>
  <c r="P96" i="22"/>
  <c r="P97" i="22"/>
  <c r="P98" i="22"/>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B4" i="22" l="1"/>
  <c r="Q103" i="22"/>
  <c r="T11" i="1" l="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V33" i="22"/>
  <c r="U33" i="22"/>
  <c r="V32" i="22"/>
  <c r="U32" i="22"/>
  <c r="V17" i="22"/>
  <c r="U17" i="22"/>
  <c r="V16" i="22"/>
  <c r="U16" i="22"/>
  <c r="R6" i="60"/>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U93" i="22" l="1"/>
  <c r="U82" i="22"/>
  <c r="V58" i="22"/>
  <c r="S58" i="22"/>
  <c r="V57" i="22"/>
  <c r="S57" i="22"/>
  <c r="V56" i="22"/>
  <c r="X56" i="22" s="1"/>
  <c r="S56" i="22"/>
  <c r="V55" i="22"/>
  <c r="S55" i="22"/>
  <c r="S51" i="22"/>
  <c r="S50" i="22"/>
  <c r="S49" i="22"/>
  <c r="S48" i="22"/>
  <c r="X58" i="22" l="1"/>
  <c r="X55" i="22"/>
  <c r="W56" i="22"/>
  <c r="W48" i="22"/>
  <c r="W50" i="22"/>
  <c r="W55" i="22"/>
  <c r="X57" i="22"/>
  <c r="W49" i="22"/>
  <c r="W51" i="22"/>
  <c r="W57" i="22"/>
  <c r="W58" i="22"/>
  <c r="L21" i="22"/>
  <c r="L20" i="22"/>
  <c r="L19" i="22"/>
  <c r="L18" i="22"/>
  <c r="L17" i="22"/>
  <c r="L16" i="22"/>
  <c r="L15" i="22"/>
  <c r="L14" i="22"/>
  <c r="L13" i="22"/>
  <c r="L12" i="22"/>
  <c r="L11" i="22"/>
  <c r="L10" i="22"/>
  <c r="L9" i="22"/>
  <c r="L8" i="22"/>
  <c r="L7" i="22"/>
  <c r="L6" i="22"/>
  <c r="L5" i="22"/>
  <c r="L4" i="22"/>
  <c r="O10" i="22" l="1"/>
  <c r="N10" i="22"/>
  <c r="N18" i="22"/>
  <c r="O18" i="22"/>
  <c r="N11" i="22"/>
  <c r="O11" i="22"/>
  <c r="N15" i="22"/>
  <c r="O15" i="22"/>
  <c r="N8" i="22"/>
  <c r="O8" i="22"/>
  <c r="N20" i="22"/>
  <c r="O20" i="22"/>
  <c r="O6" i="22"/>
  <c r="N6" i="22"/>
  <c r="N14" i="22"/>
  <c r="O14" i="22"/>
  <c r="N7" i="22"/>
  <c r="O7" i="22"/>
  <c r="N19" i="22"/>
  <c r="O19" i="22"/>
  <c r="O4" i="22"/>
  <c r="N4" i="22"/>
  <c r="N12" i="22"/>
  <c r="O12" i="22"/>
  <c r="N16" i="22"/>
  <c r="O16" i="22"/>
  <c r="N5" i="22"/>
  <c r="O5" i="22"/>
  <c r="N9" i="22"/>
  <c r="O9" i="22"/>
  <c r="O13" i="22"/>
  <c r="N13" i="22"/>
  <c r="N17" i="22"/>
  <c r="O17" i="22"/>
  <c r="N21" i="22"/>
  <c r="O21" i="22"/>
  <c r="B27" i="26"/>
  <c r="B21" i="26"/>
  <c r="P9" i="60"/>
  <c r="P10" i="60"/>
  <c r="P11" i="60"/>
  <c r="P12" i="60"/>
  <c r="P13" i="60"/>
  <c r="P14" i="60"/>
  <c r="P15" i="60"/>
  <c r="P16" i="60"/>
  <c r="P17" i="60"/>
  <c r="P18" i="60"/>
  <c r="P19" i="60"/>
  <c r="P20" i="60"/>
  <c r="P21" i="60"/>
  <c r="P22" i="60"/>
  <c r="P23" i="60"/>
  <c r="P24" i="60"/>
  <c r="P25" i="60"/>
  <c r="P26" i="60"/>
  <c r="P27" i="60"/>
  <c r="P28" i="60"/>
  <c r="P29" i="60"/>
  <c r="P30" i="60"/>
  <c r="P31" i="60"/>
  <c r="P32" i="60"/>
  <c r="P33" i="60"/>
  <c r="P34" i="60"/>
  <c r="P35" i="60"/>
  <c r="P36" i="60"/>
  <c r="P37" i="60"/>
  <c r="P38" i="60"/>
  <c r="P39" i="60"/>
  <c r="P40" i="60"/>
  <c r="P41" i="60"/>
  <c r="P42" i="60"/>
  <c r="P43" i="60"/>
  <c r="P44" i="60"/>
  <c r="P45" i="60"/>
  <c r="P46" i="60"/>
  <c r="P47" i="60"/>
  <c r="P48" i="60"/>
  <c r="P49" i="60"/>
  <c r="P50" i="60"/>
  <c r="P51" i="60"/>
  <c r="P52" i="60"/>
  <c r="P53" i="60"/>
  <c r="P54" i="60"/>
  <c r="P55" i="60"/>
  <c r="O7" i="60"/>
  <c r="O8" i="60"/>
  <c r="O9" i="60"/>
  <c r="O10" i="60"/>
  <c r="O11" i="60"/>
  <c r="O12" i="60"/>
  <c r="O13" i="60"/>
  <c r="O14" i="60"/>
  <c r="O15" i="60"/>
  <c r="O16" i="60"/>
  <c r="O17" i="60"/>
  <c r="O18" i="60"/>
  <c r="O19" i="60"/>
  <c r="O20" i="60"/>
  <c r="O21" i="60"/>
  <c r="O22" i="60"/>
  <c r="O23" i="60"/>
  <c r="O24" i="60"/>
  <c r="O25" i="60"/>
  <c r="O26" i="60"/>
  <c r="O27" i="60"/>
  <c r="O28" i="60"/>
  <c r="O29" i="60"/>
  <c r="O30" i="60"/>
  <c r="O31" i="60"/>
  <c r="O32" i="60"/>
  <c r="O33" i="60"/>
  <c r="O34" i="60"/>
  <c r="O35" i="60"/>
  <c r="O36" i="60"/>
  <c r="O37" i="60"/>
  <c r="O38" i="60"/>
  <c r="O39" i="60"/>
  <c r="O40" i="60"/>
  <c r="O41" i="60"/>
  <c r="O42" i="60"/>
  <c r="O43" i="60"/>
  <c r="O44" i="60"/>
  <c r="O45" i="60"/>
  <c r="O46" i="60"/>
  <c r="O47" i="60"/>
  <c r="O48" i="60"/>
  <c r="O49" i="60"/>
  <c r="O50" i="60"/>
  <c r="O51" i="60"/>
  <c r="O52" i="60"/>
  <c r="O53" i="60"/>
  <c r="O54" i="60"/>
  <c r="O55" i="60"/>
  <c r="I4" i="58"/>
  <c r="J4" i="58"/>
  <c r="I5" i="58"/>
  <c r="J5" i="58"/>
  <c r="I6" i="58"/>
  <c r="J6" i="58"/>
  <c r="I7" i="58"/>
  <c r="J7" i="58"/>
  <c r="I8" i="58"/>
  <c r="J8" i="58"/>
  <c r="I9" i="58"/>
  <c r="J9" i="58"/>
  <c r="I10" i="58"/>
  <c r="J10" i="58"/>
  <c r="I11" i="58"/>
  <c r="J11" i="58"/>
  <c r="I12" i="58"/>
  <c r="J12" i="58"/>
  <c r="I13" i="58"/>
  <c r="J13" i="58"/>
  <c r="I14" i="58"/>
  <c r="J14" i="58"/>
  <c r="I15" i="58"/>
  <c r="J15" i="58"/>
  <c r="I16" i="58"/>
  <c r="J16" i="58"/>
  <c r="I17" i="58"/>
  <c r="J17" i="58"/>
  <c r="I18" i="58"/>
  <c r="J18" i="58"/>
  <c r="I19" i="58"/>
  <c r="J19" i="58"/>
  <c r="I20" i="58"/>
  <c r="J20" i="58"/>
  <c r="I21" i="58"/>
  <c r="J21" i="58"/>
  <c r="I22" i="58"/>
  <c r="J22" i="58"/>
  <c r="I23" i="58"/>
  <c r="J23" i="58"/>
  <c r="I24" i="58"/>
  <c r="J24" i="58"/>
  <c r="I25" i="58"/>
  <c r="J25" i="58"/>
  <c r="I26" i="58"/>
  <c r="J26" i="58"/>
  <c r="I27" i="58"/>
  <c r="J27" i="58"/>
  <c r="I28" i="58"/>
  <c r="J28" i="58"/>
  <c r="I29" i="58"/>
  <c r="J29" i="58"/>
  <c r="I30" i="58"/>
  <c r="J30" i="58"/>
  <c r="I31" i="58"/>
  <c r="J31" i="58"/>
  <c r="I32" i="58"/>
  <c r="J32" i="58"/>
  <c r="I33" i="58"/>
  <c r="J33" i="58"/>
  <c r="I34" i="58"/>
  <c r="J34" i="58"/>
  <c r="I35" i="58"/>
  <c r="J35" i="58"/>
  <c r="I36" i="58"/>
  <c r="J36" i="58"/>
  <c r="I37" i="58"/>
  <c r="J37" i="58"/>
  <c r="I38" i="58"/>
  <c r="J38" i="58"/>
  <c r="I39" i="58"/>
  <c r="J39" i="58"/>
  <c r="I40" i="58"/>
  <c r="J40" i="58"/>
  <c r="I41" i="58"/>
  <c r="J41" i="58"/>
  <c r="I42" i="58"/>
  <c r="J42" i="58"/>
  <c r="I43" i="58"/>
  <c r="J43" i="58"/>
  <c r="I44" i="58"/>
  <c r="J44" i="58"/>
  <c r="I45" i="58"/>
  <c r="J45" i="58"/>
  <c r="I46" i="58"/>
  <c r="J46" i="58"/>
  <c r="I47" i="58"/>
  <c r="J47" i="58"/>
  <c r="I48" i="58"/>
  <c r="J48" i="58"/>
  <c r="I49" i="58"/>
  <c r="J49" i="58"/>
  <c r="I50" i="58"/>
  <c r="J50" i="58"/>
  <c r="I51" i="58"/>
  <c r="J51" i="58"/>
  <c r="I52" i="58"/>
  <c r="J52" i="58"/>
  <c r="J3" i="58"/>
  <c r="I3" i="58"/>
  <c r="Q111" i="22"/>
  <c r="Q115" i="22"/>
  <c r="Q114" i="22"/>
  <c r="Q113" i="22"/>
  <c r="Q112" i="22"/>
  <c r="Q110" i="22"/>
  <c r="Q109" i="22"/>
  <c r="Q108" i="22"/>
  <c r="Q107" i="22"/>
  <c r="Q106" i="22"/>
  <c r="P8" i="60" s="1"/>
  <c r="Q104" i="22"/>
  <c r="Q105" i="22"/>
  <c r="P13" i="22" l="1"/>
  <c r="Q13" i="22"/>
  <c r="P21" i="22"/>
  <c r="Q21" i="22"/>
  <c r="P5" i="22"/>
  <c r="Q5" i="22"/>
  <c r="Q12" i="22"/>
  <c r="P12" i="22"/>
  <c r="P19" i="22"/>
  <c r="Q19" i="22"/>
  <c r="P14" i="22"/>
  <c r="Q14" i="22"/>
  <c r="Q20" i="22"/>
  <c r="P20" i="22"/>
  <c r="P15" i="22"/>
  <c r="Q15" i="22"/>
  <c r="P18" i="22"/>
  <c r="Q18" i="22"/>
  <c r="Q4" i="22"/>
  <c r="P4" i="22"/>
  <c r="P6" i="22"/>
  <c r="Q6" i="22"/>
  <c r="P10" i="22"/>
  <c r="Q10" i="22"/>
  <c r="P17" i="22"/>
  <c r="Q17" i="22"/>
  <c r="P9" i="22"/>
  <c r="Q9" i="22"/>
  <c r="Q16" i="22"/>
  <c r="P16" i="22"/>
  <c r="P7" i="22"/>
  <c r="Q7" i="22"/>
  <c r="Q8" i="22"/>
  <c r="P8" i="22"/>
  <c r="Q11" i="22"/>
  <c r="P11" i="22"/>
  <c r="K3" i="58"/>
  <c r="P7" i="60"/>
  <c r="P6" i="60"/>
  <c r="K4" i="58" l="1"/>
  <c r="K5" i="58"/>
  <c r="K6" i="58"/>
  <c r="K7" i="58"/>
  <c r="K8" i="58"/>
  <c r="K9" i="58"/>
  <c r="K10" i="58"/>
  <c r="K11" i="58"/>
  <c r="K12" i="58"/>
  <c r="K13" i="58"/>
  <c r="K14" i="58"/>
  <c r="K15" i="58"/>
  <c r="K16" i="58"/>
  <c r="K17" i="58"/>
  <c r="K18" i="58"/>
  <c r="K19" i="58"/>
  <c r="K20" i="58"/>
  <c r="K21" i="58"/>
  <c r="K22" i="58"/>
  <c r="K23" i="58"/>
  <c r="K24" i="58"/>
  <c r="K25" i="58"/>
  <c r="K26" i="58"/>
  <c r="K27" i="58"/>
  <c r="K28" i="58"/>
  <c r="K29" i="58"/>
  <c r="K30" i="58"/>
  <c r="K31" i="58"/>
  <c r="K32" i="58"/>
  <c r="K33" i="58"/>
  <c r="K34" i="58"/>
  <c r="K35" i="58"/>
  <c r="K36" i="58"/>
  <c r="K37" i="58"/>
  <c r="K38" i="58"/>
  <c r="K39" i="58"/>
  <c r="K40" i="58"/>
  <c r="K41" i="58"/>
  <c r="K42" i="58"/>
  <c r="K43" i="58"/>
  <c r="K44" i="58"/>
  <c r="K45" i="58"/>
  <c r="K46" i="58"/>
  <c r="K47" i="58"/>
  <c r="K48" i="58"/>
  <c r="K49" i="58"/>
  <c r="K50" i="58"/>
  <c r="K51" i="58"/>
  <c r="K52" i="58"/>
  <c r="B4" i="58"/>
  <c r="B5" i="58"/>
  <c r="B6" i="58"/>
  <c r="B7" i="58"/>
  <c r="B8" i="58"/>
  <c r="B9" i="58"/>
  <c r="B10" i="58"/>
  <c r="B11" i="58"/>
  <c r="B12" i="58"/>
  <c r="B13" i="58"/>
  <c r="B14" i="58"/>
  <c r="B15" i="58"/>
  <c r="B16" i="58"/>
  <c r="B17" i="58"/>
  <c r="B18" i="58"/>
  <c r="B19" i="58"/>
  <c r="B20" i="58"/>
  <c r="B21" i="58"/>
  <c r="B22" i="58"/>
  <c r="B23" i="58"/>
  <c r="B24" i="58"/>
  <c r="B25" i="58"/>
  <c r="B26" i="58"/>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3" i="58"/>
  <c r="C4" i="58"/>
  <c r="D4" i="58"/>
  <c r="C5" i="58"/>
  <c r="D5" i="58"/>
  <c r="C6" i="58"/>
  <c r="D6" i="58"/>
  <c r="C7" i="58"/>
  <c r="D7" i="58"/>
  <c r="C8" i="58"/>
  <c r="D8" i="58"/>
  <c r="C9" i="58"/>
  <c r="D9" i="58"/>
  <c r="G9" i="58" s="1"/>
  <c r="C10" i="58"/>
  <c r="D10" i="58"/>
  <c r="C11" i="58"/>
  <c r="D11" i="58"/>
  <c r="C12" i="58"/>
  <c r="D12" i="58"/>
  <c r="C13" i="58"/>
  <c r="D13" i="58"/>
  <c r="C14" i="58"/>
  <c r="D14" i="58"/>
  <c r="C15" i="58"/>
  <c r="D15" i="58"/>
  <c r="C16" i="58"/>
  <c r="D16" i="58"/>
  <c r="C17" i="58"/>
  <c r="D17" i="58"/>
  <c r="C18" i="58"/>
  <c r="D18" i="58"/>
  <c r="C19" i="58"/>
  <c r="D19" i="58"/>
  <c r="C20" i="58"/>
  <c r="D20" i="58"/>
  <c r="C21" i="58"/>
  <c r="D21" i="58"/>
  <c r="C22" i="58"/>
  <c r="D22" i="58"/>
  <c r="C23" i="58"/>
  <c r="D23" i="58"/>
  <c r="C24" i="58"/>
  <c r="D24" i="58"/>
  <c r="C25" i="58"/>
  <c r="D25" i="58"/>
  <c r="C26" i="58"/>
  <c r="D26" i="58"/>
  <c r="C27" i="58"/>
  <c r="D27" i="58"/>
  <c r="C28" i="58"/>
  <c r="D28" i="58"/>
  <c r="C29" i="58"/>
  <c r="D29" i="58"/>
  <c r="C30" i="58"/>
  <c r="D30" i="58"/>
  <c r="C31" i="58"/>
  <c r="D31" i="58"/>
  <c r="C32" i="58"/>
  <c r="D32" i="58"/>
  <c r="C33" i="58"/>
  <c r="D33" i="58"/>
  <c r="C34" i="58"/>
  <c r="D34" i="58"/>
  <c r="C35" i="58"/>
  <c r="D35" i="58"/>
  <c r="C36" i="58"/>
  <c r="D36" i="58"/>
  <c r="C37" i="58"/>
  <c r="D37" i="58"/>
  <c r="C38" i="58"/>
  <c r="D38" i="58"/>
  <c r="C39" i="58"/>
  <c r="D39" i="58"/>
  <c r="C40" i="58"/>
  <c r="D40" i="58"/>
  <c r="C41" i="58"/>
  <c r="D41" i="58"/>
  <c r="C42" i="58"/>
  <c r="D42" i="58"/>
  <c r="C43" i="58"/>
  <c r="D43" i="58"/>
  <c r="C44" i="58"/>
  <c r="D44" i="58"/>
  <c r="C45" i="58"/>
  <c r="D45" i="58"/>
  <c r="C46" i="58"/>
  <c r="D46" i="58"/>
  <c r="C47" i="58"/>
  <c r="D47" i="58"/>
  <c r="C48" i="58"/>
  <c r="D48" i="58"/>
  <c r="C49" i="58"/>
  <c r="D49" i="58"/>
  <c r="C50" i="58"/>
  <c r="D50" i="58"/>
  <c r="C51" i="58"/>
  <c r="D51" i="58"/>
  <c r="C52" i="58"/>
  <c r="D52" i="58"/>
  <c r="D3" i="58"/>
  <c r="C3" i="5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53" i="28"/>
  <c r="E133" i="28"/>
  <c r="E134" i="28"/>
  <c r="E135" i="28"/>
  <c r="E136" i="28"/>
  <c r="E137" i="28"/>
  <c r="E138" i="28"/>
  <c r="E139" i="28"/>
  <c r="E140" i="28"/>
  <c r="E141" i="28"/>
  <c r="E142" i="28"/>
  <c r="E143" i="28"/>
  <c r="E144" i="28"/>
  <c r="E145" i="28"/>
  <c r="E146" i="28"/>
  <c r="E147" i="28"/>
  <c r="E148" i="28"/>
  <c r="E149" i="28"/>
  <c r="E150" i="28"/>
  <c r="E151" i="28"/>
  <c r="E152" i="28"/>
  <c r="E153" i="28"/>
  <c r="E154" i="28"/>
  <c r="E155" i="28"/>
  <c r="E156" i="28"/>
  <c r="E157" i="28"/>
  <c r="E158" i="28"/>
  <c r="E159" i="28"/>
  <c r="E160" i="28"/>
  <c r="E161" i="28"/>
  <c r="E162" i="28"/>
  <c r="E163" i="28"/>
  <c r="E164" i="28"/>
  <c r="E165" i="28"/>
  <c r="E166" i="28"/>
  <c r="E167" i="28"/>
  <c r="E168" i="28"/>
  <c r="E169" i="28"/>
  <c r="E170" i="28"/>
  <c r="E171" i="28"/>
  <c r="E172" i="28"/>
  <c r="E173" i="28"/>
  <c r="E174" i="28"/>
  <c r="E175" i="28"/>
  <c r="E176" i="28"/>
  <c r="E177" i="28"/>
  <c r="E178" i="28"/>
  <c r="E179" i="28"/>
  <c r="E180" i="28"/>
  <c r="E181" i="28"/>
  <c r="E182" i="28"/>
  <c r="E183" i="28"/>
  <c r="E184" i="28"/>
  <c r="E185" i="28"/>
  <c r="E186" i="28"/>
  <c r="E187" i="28"/>
  <c r="E188" i="28"/>
  <c r="E189" i="28"/>
  <c r="E190" i="28"/>
  <c r="E191" i="28"/>
  <c r="E192"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53"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G54" i="28"/>
  <c r="G55" i="28"/>
  <c r="G56" i="28"/>
  <c r="G57" i="28"/>
  <c r="G58" i="28"/>
  <c r="G59" i="28"/>
  <c r="G60" i="28"/>
  <c r="G61" i="28"/>
  <c r="G62" i="28"/>
  <c r="G63" i="28"/>
  <c r="G64" i="28"/>
  <c r="G65" i="28"/>
  <c r="G66" i="28"/>
  <c r="G67" i="28"/>
  <c r="G68" i="28"/>
  <c r="G69" i="28"/>
  <c r="G70" i="28"/>
  <c r="G71" i="28"/>
  <c r="G72" i="28"/>
  <c r="G73" i="28"/>
  <c r="G74" i="28"/>
  <c r="G75" i="28"/>
  <c r="G76" i="28"/>
  <c r="G77" i="28"/>
  <c r="G78" i="28"/>
  <c r="G79" i="28"/>
  <c r="G80" i="28"/>
  <c r="G81" i="28"/>
  <c r="G82" i="28"/>
  <c r="G83" i="28"/>
  <c r="G84" i="28"/>
  <c r="G85" i="28"/>
  <c r="G86" i="28"/>
  <c r="G87" i="28"/>
  <c r="G88" i="28"/>
  <c r="G89" i="28"/>
  <c r="G90" i="28"/>
  <c r="G91" i="28"/>
  <c r="G92" i="28"/>
  <c r="G93" i="28"/>
  <c r="G94" i="28"/>
  <c r="G95" i="28"/>
  <c r="G96" i="28"/>
  <c r="G97" i="28"/>
  <c r="G98" i="28"/>
  <c r="G99" i="28"/>
  <c r="G100" i="28"/>
  <c r="G101" i="28"/>
  <c r="G102" i="28"/>
  <c r="R7" i="60"/>
  <c r="R8" i="60"/>
  <c r="R9" i="60"/>
  <c r="R10" i="60"/>
  <c r="R11" i="60"/>
  <c r="R12" i="60"/>
  <c r="R13" i="60"/>
  <c r="R14" i="60"/>
  <c r="R15" i="60"/>
  <c r="R16" i="60"/>
  <c r="R17" i="60"/>
  <c r="R18" i="60"/>
  <c r="R19" i="60"/>
  <c r="R20" i="60"/>
  <c r="R21" i="60"/>
  <c r="R22" i="60"/>
  <c r="R23" i="60"/>
  <c r="R24" i="60"/>
  <c r="R25" i="60"/>
  <c r="R26" i="60"/>
  <c r="R27" i="60"/>
  <c r="R28" i="60"/>
  <c r="R29" i="60"/>
  <c r="R30" i="60"/>
  <c r="R31" i="60"/>
  <c r="R32" i="60"/>
  <c r="R33" i="60"/>
  <c r="R34" i="60"/>
  <c r="R35" i="60"/>
  <c r="R36" i="60"/>
  <c r="R37" i="60"/>
  <c r="R38" i="60"/>
  <c r="R39" i="60"/>
  <c r="R40" i="60"/>
  <c r="R41" i="60"/>
  <c r="R42" i="60"/>
  <c r="R43" i="60"/>
  <c r="R44" i="60"/>
  <c r="R45" i="60"/>
  <c r="R46" i="60"/>
  <c r="R47" i="60"/>
  <c r="R48" i="60"/>
  <c r="R49" i="60"/>
  <c r="R50" i="60"/>
  <c r="R51" i="60"/>
  <c r="R52" i="60"/>
  <c r="R53" i="60"/>
  <c r="R54" i="60"/>
  <c r="R55" i="60"/>
  <c r="N9" i="60"/>
  <c r="M56" i="28" s="1"/>
  <c r="N10" i="60"/>
  <c r="M57" i="28" s="1"/>
  <c r="N11" i="60"/>
  <c r="M58" i="28" s="1"/>
  <c r="N12" i="60"/>
  <c r="M59" i="28" s="1"/>
  <c r="N13" i="60"/>
  <c r="M60" i="28" s="1"/>
  <c r="N14" i="60"/>
  <c r="M61" i="28" s="1"/>
  <c r="N15" i="60"/>
  <c r="M62" i="28" s="1"/>
  <c r="N16" i="60"/>
  <c r="M63" i="28" s="1"/>
  <c r="N17" i="60"/>
  <c r="M64" i="28" s="1"/>
  <c r="N18" i="60"/>
  <c r="M65" i="28" s="1"/>
  <c r="N19" i="60"/>
  <c r="M66" i="28" s="1"/>
  <c r="N20" i="60"/>
  <c r="M67" i="28" s="1"/>
  <c r="N21" i="60"/>
  <c r="M68" i="28" s="1"/>
  <c r="N22" i="60"/>
  <c r="M69" i="28" s="1"/>
  <c r="N23" i="60"/>
  <c r="M70" i="28" s="1"/>
  <c r="N24" i="60"/>
  <c r="M71" i="28" s="1"/>
  <c r="N25" i="60"/>
  <c r="M72" i="28" s="1"/>
  <c r="N26" i="60"/>
  <c r="M73" i="28" s="1"/>
  <c r="N27" i="60"/>
  <c r="M74" i="28" s="1"/>
  <c r="N28" i="60"/>
  <c r="M75" i="28" s="1"/>
  <c r="N29" i="60"/>
  <c r="M76" i="28" s="1"/>
  <c r="N30" i="60"/>
  <c r="M77" i="28" s="1"/>
  <c r="N31" i="60"/>
  <c r="M78" i="28" s="1"/>
  <c r="N32" i="60"/>
  <c r="M79" i="28" s="1"/>
  <c r="N33" i="60"/>
  <c r="M80" i="28" s="1"/>
  <c r="N34" i="60"/>
  <c r="M81" i="28" s="1"/>
  <c r="N35" i="60"/>
  <c r="M82" i="28" s="1"/>
  <c r="N36" i="60"/>
  <c r="M83" i="28" s="1"/>
  <c r="N37" i="60"/>
  <c r="M84" i="28" s="1"/>
  <c r="N38" i="60"/>
  <c r="M85" i="28" s="1"/>
  <c r="N39" i="60"/>
  <c r="M86" i="28" s="1"/>
  <c r="N40" i="60"/>
  <c r="M87" i="28" s="1"/>
  <c r="N41" i="60"/>
  <c r="M88" i="28" s="1"/>
  <c r="N42" i="60"/>
  <c r="M89" i="28" s="1"/>
  <c r="N43" i="60"/>
  <c r="M90" i="28" s="1"/>
  <c r="N44" i="60"/>
  <c r="M91" i="28" s="1"/>
  <c r="N45" i="60"/>
  <c r="M92" i="28" s="1"/>
  <c r="N46" i="60"/>
  <c r="M93" i="28" s="1"/>
  <c r="N47" i="60"/>
  <c r="M94" i="28" s="1"/>
  <c r="N48" i="60"/>
  <c r="M95" i="28" s="1"/>
  <c r="N49" i="60"/>
  <c r="M96" i="28" s="1"/>
  <c r="N50" i="60"/>
  <c r="M97" i="28" s="1"/>
  <c r="N51" i="60"/>
  <c r="M98" i="28" s="1"/>
  <c r="N52" i="60"/>
  <c r="M99" i="28" s="1"/>
  <c r="N53" i="60"/>
  <c r="M100" i="28" s="1"/>
  <c r="N54" i="60"/>
  <c r="M101" i="28" s="1"/>
  <c r="N55" i="60"/>
  <c r="M102" i="28" s="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O6" i="60"/>
  <c r="G53" i="28" s="1"/>
  <c r="E52" i="58" l="1"/>
  <c r="E50" i="58"/>
  <c r="E48" i="58"/>
  <c r="E46" i="58"/>
  <c r="E44" i="58"/>
  <c r="E42" i="58"/>
  <c r="E40" i="58"/>
  <c r="E38" i="58"/>
  <c r="E36" i="58"/>
  <c r="E34" i="58"/>
  <c r="E32" i="58"/>
  <c r="E30" i="58"/>
  <c r="E28" i="58"/>
  <c r="E26" i="58"/>
  <c r="E24" i="58"/>
  <c r="E22" i="58"/>
  <c r="E20" i="58"/>
  <c r="E18" i="58"/>
  <c r="E16" i="58"/>
  <c r="E14" i="58"/>
  <c r="E12" i="58"/>
  <c r="E10" i="58"/>
  <c r="E8" i="58"/>
  <c r="E6" i="58"/>
  <c r="E51" i="58"/>
  <c r="E47" i="58"/>
  <c r="E43" i="58"/>
  <c r="E41" i="58"/>
  <c r="E37" i="58"/>
  <c r="E33" i="58"/>
  <c r="E31" i="58"/>
  <c r="E27" i="58"/>
  <c r="E23" i="58"/>
  <c r="E21" i="58"/>
  <c r="E17" i="58"/>
  <c r="E15" i="58"/>
  <c r="E13" i="58"/>
  <c r="E11" i="58"/>
  <c r="E7" i="58"/>
  <c r="E5" i="58"/>
  <c r="E49" i="58"/>
  <c r="E45" i="58"/>
  <c r="E39" i="58"/>
  <c r="E35" i="58"/>
  <c r="E29" i="58"/>
  <c r="E25" i="58"/>
  <c r="E19" i="58"/>
  <c r="E9" i="58"/>
  <c r="E3" i="58"/>
  <c r="E4" i="58"/>
  <c r="F10" i="58"/>
  <c r="G10" i="58"/>
  <c r="F49" i="58"/>
  <c r="F45" i="58"/>
  <c r="F41" i="58"/>
  <c r="F37" i="58"/>
  <c r="F33" i="58"/>
  <c r="F29" i="58"/>
  <c r="F25" i="58"/>
  <c r="F21" i="58"/>
  <c r="F17" i="58"/>
  <c r="F13" i="58"/>
  <c r="G11" i="58"/>
  <c r="G7" i="58"/>
  <c r="F11" i="58"/>
  <c r="F7" i="58"/>
  <c r="G50" i="58"/>
  <c r="G34" i="58"/>
  <c r="G18" i="58"/>
  <c r="G51" i="58"/>
  <c r="G47" i="58"/>
  <c r="G43" i="58"/>
  <c r="G39" i="58"/>
  <c r="G35" i="58"/>
  <c r="G31" i="58"/>
  <c r="G27" i="58"/>
  <c r="G23" i="58"/>
  <c r="G19" i="58"/>
  <c r="G15" i="58"/>
  <c r="F50" i="58"/>
  <c r="F46" i="58"/>
  <c r="F42" i="58"/>
  <c r="F38" i="58"/>
  <c r="F34" i="58"/>
  <c r="H34" i="58" s="1"/>
  <c r="M34" i="58" s="1"/>
  <c r="F30" i="58"/>
  <c r="F26" i="58"/>
  <c r="F22" i="58"/>
  <c r="F18" i="58"/>
  <c r="F14" i="58"/>
  <c r="G46" i="58"/>
  <c r="G30" i="58"/>
  <c r="G14" i="58"/>
  <c r="F3" i="58"/>
  <c r="G42" i="58"/>
  <c r="G26" i="58"/>
  <c r="G38" i="58"/>
  <c r="G22" i="58"/>
  <c r="F9" i="58"/>
  <c r="H9" i="58" s="1"/>
  <c r="M9" i="58" s="1"/>
  <c r="G5" i="58"/>
  <c r="G6" i="58"/>
  <c r="Q9" i="60"/>
  <c r="Q6" i="60"/>
  <c r="G8" i="58"/>
  <c r="F52" i="58"/>
  <c r="F48" i="58"/>
  <c r="F44" i="58"/>
  <c r="F40" i="58"/>
  <c r="F36" i="58"/>
  <c r="F32" i="58"/>
  <c r="F28" i="58"/>
  <c r="F24" i="58"/>
  <c r="F20" i="58"/>
  <c r="F16" i="58"/>
  <c r="G3" i="58"/>
  <c r="G49" i="58"/>
  <c r="G45" i="58"/>
  <c r="G41" i="58"/>
  <c r="G37" i="58"/>
  <c r="G33" i="58"/>
  <c r="G29" i="58"/>
  <c r="G25" i="58"/>
  <c r="G21" i="58"/>
  <c r="G17" i="58"/>
  <c r="G13" i="58"/>
  <c r="F4" i="58"/>
  <c r="G4" i="58"/>
  <c r="F8" i="58"/>
  <c r="F51" i="58"/>
  <c r="F47" i="58"/>
  <c r="F43" i="58"/>
  <c r="F39" i="58"/>
  <c r="F35" i="58"/>
  <c r="F31" i="58"/>
  <c r="F27" i="58"/>
  <c r="F23" i="58"/>
  <c r="F19" i="58"/>
  <c r="F15" i="58"/>
  <c r="F6" i="58"/>
  <c r="G52" i="58"/>
  <c r="G48" i="58"/>
  <c r="G44" i="58"/>
  <c r="G40" i="58"/>
  <c r="G36" i="58"/>
  <c r="G32" i="58"/>
  <c r="G28" i="58"/>
  <c r="G24" i="58"/>
  <c r="G20" i="58"/>
  <c r="G16" i="58"/>
  <c r="F5" i="58"/>
  <c r="F12" i="58"/>
  <c r="G12" i="58"/>
  <c r="AQ22" i="22"/>
  <c r="AQ23" i="22"/>
  <c r="AQ24" i="22"/>
  <c r="AQ14" i="22"/>
  <c r="AQ15" i="22"/>
  <c r="AQ16" i="22"/>
  <c r="AQ17" i="22"/>
  <c r="AQ18" i="22"/>
  <c r="AQ19" i="22"/>
  <c r="AQ20" i="22"/>
  <c r="AQ21" i="22"/>
  <c r="AQ4" i="22"/>
  <c r="B59" i="60"/>
  <c r="C55" i="60"/>
  <c r="D102" i="28" s="1"/>
  <c r="L102" i="28" s="1"/>
  <c r="C54" i="60"/>
  <c r="D101" i="28" s="1"/>
  <c r="L101" i="28" s="1"/>
  <c r="C53" i="60"/>
  <c r="D100" i="28" s="1"/>
  <c r="L100" i="28" s="1"/>
  <c r="C52" i="60"/>
  <c r="D99" i="28" s="1"/>
  <c r="L99" i="28" s="1"/>
  <c r="C51" i="60"/>
  <c r="D98" i="28" s="1"/>
  <c r="L98" i="28" s="1"/>
  <c r="C50" i="60"/>
  <c r="D97" i="28" s="1"/>
  <c r="L97" i="28" s="1"/>
  <c r="C49" i="60"/>
  <c r="D96" i="28" s="1"/>
  <c r="L96" i="28" s="1"/>
  <c r="C48" i="60"/>
  <c r="D95" i="28" s="1"/>
  <c r="L95" i="28" s="1"/>
  <c r="C47" i="60"/>
  <c r="D94" i="28" s="1"/>
  <c r="L94" i="28" s="1"/>
  <c r="C46" i="60"/>
  <c r="D93" i="28" s="1"/>
  <c r="L93" i="28" s="1"/>
  <c r="C45" i="60"/>
  <c r="D92" i="28" s="1"/>
  <c r="L92" i="28" s="1"/>
  <c r="C44" i="60"/>
  <c r="D91" i="28" s="1"/>
  <c r="L91" i="28" s="1"/>
  <c r="C43" i="60"/>
  <c r="D90" i="28" s="1"/>
  <c r="L90" i="28" s="1"/>
  <c r="C42" i="60"/>
  <c r="D89" i="28" s="1"/>
  <c r="L89" i="28" s="1"/>
  <c r="C41" i="60"/>
  <c r="D88" i="28" s="1"/>
  <c r="L88" i="28" s="1"/>
  <c r="C40" i="60"/>
  <c r="D87" i="28" s="1"/>
  <c r="L87" i="28" s="1"/>
  <c r="C39" i="60"/>
  <c r="D86" i="28" s="1"/>
  <c r="L86" i="28" s="1"/>
  <c r="C38" i="60"/>
  <c r="D85" i="28" s="1"/>
  <c r="L85" i="28" s="1"/>
  <c r="C37" i="60"/>
  <c r="D84" i="28" s="1"/>
  <c r="L84" i="28" s="1"/>
  <c r="C36" i="60"/>
  <c r="D83" i="28" s="1"/>
  <c r="L83" i="28" s="1"/>
  <c r="C35" i="60"/>
  <c r="D82" i="28" s="1"/>
  <c r="L82" i="28" s="1"/>
  <c r="C34" i="60"/>
  <c r="D81" i="28" s="1"/>
  <c r="L81" i="28" s="1"/>
  <c r="C33" i="60"/>
  <c r="D80" i="28" s="1"/>
  <c r="L80" i="28" s="1"/>
  <c r="C32" i="60"/>
  <c r="D79" i="28" s="1"/>
  <c r="L79" i="28" s="1"/>
  <c r="C31" i="60"/>
  <c r="D78" i="28" s="1"/>
  <c r="L78" i="28" s="1"/>
  <c r="C30" i="60"/>
  <c r="D77" i="28" s="1"/>
  <c r="L77" i="28" s="1"/>
  <c r="C29" i="60"/>
  <c r="D76" i="28" s="1"/>
  <c r="L76" i="28" s="1"/>
  <c r="C28" i="60"/>
  <c r="D75" i="28" s="1"/>
  <c r="L75" i="28" s="1"/>
  <c r="C27" i="60"/>
  <c r="D74" i="28" s="1"/>
  <c r="L74" i="28" s="1"/>
  <c r="C26" i="60"/>
  <c r="D73" i="28" s="1"/>
  <c r="L73" i="28" s="1"/>
  <c r="C25" i="60"/>
  <c r="D72" i="28" s="1"/>
  <c r="L72" i="28" s="1"/>
  <c r="C24" i="60"/>
  <c r="D71" i="28" s="1"/>
  <c r="L71" i="28" s="1"/>
  <c r="C23" i="60"/>
  <c r="D70" i="28" s="1"/>
  <c r="L70" i="28" s="1"/>
  <c r="C22" i="60"/>
  <c r="D69" i="28" s="1"/>
  <c r="L69" i="28" s="1"/>
  <c r="C21" i="60"/>
  <c r="D68" i="28" s="1"/>
  <c r="L68" i="28" s="1"/>
  <c r="C20" i="60"/>
  <c r="D67" i="28" s="1"/>
  <c r="L67" i="28" s="1"/>
  <c r="C19" i="60"/>
  <c r="D66" i="28" s="1"/>
  <c r="L66" i="28" s="1"/>
  <c r="C18" i="60"/>
  <c r="D65" i="28" s="1"/>
  <c r="L65" i="28" s="1"/>
  <c r="C17" i="60"/>
  <c r="D64" i="28" s="1"/>
  <c r="L64" i="28" s="1"/>
  <c r="C16" i="60"/>
  <c r="D63" i="28" s="1"/>
  <c r="L63" i="28" s="1"/>
  <c r="C15" i="60"/>
  <c r="D62" i="28" s="1"/>
  <c r="L62" i="28" s="1"/>
  <c r="C14" i="60"/>
  <c r="D61" i="28" s="1"/>
  <c r="L61" i="28" s="1"/>
  <c r="C13" i="60"/>
  <c r="C12" i="60"/>
  <c r="D59" i="28" s="1"/>
  <c r="L59" i="28" s="1"/>
  <c r="C11" i="60"/>
  <c r="C10" i="60"/>
  <c r="D57" i="28" s="1"/>
  <c r="L57" i="28" s="1"/>
  <c r="C9" i="60"/>
  <c r="D56" i="28" s="1"/>
  <c r="L56" i="28" s="1"/>
  <c r="C8" i="60"/>
  <c r="D55" i="28" s="1"/>
  <c r="L55" i="28" s="1"/>
  <c r="C7" i="60"/>
  <c r="C6" i="60"/>
  <c r="C17" i="26"/>
  <c r="C16" i="26"/>
  <c r="C15" i="26"/>
  <c r="D53" i="28" l="1"/>
  <c r="L53" i="28" s="1"/>
  <c r="M6" i="60"/>
  <c r="H10" i="58"/>
  <c r="M10" i="58" s="1"/>
  <c r="H8" i="58"/>
  <c r="O8" i="58" s="1"/>
  <c r="H27" i="58"/>
  <c r="O27" i="58" s="1"/>
  <c r="H43" i="58"/>
  <c r="O43" i="58" s="1"/>
  <c r="H21" i="58"/>
  <c r="O21" i="58" s="1"/>
  <c r="H37" i="58"/>
  <c r="M37" i="58" s="1"/>
  <c r="H13" i="58"/>
  <c r="O13" i="58" s="1"/>
  <c r="H29" i="58"/>
  <c r="O29" i="58" s="1"/>
  <c r="H45" i="58"/>
  <c r="O45" i="58" s="1"/>
  <c r="H25" i="58"/>
  <c r="M25" i="58" s="1"/>
  <c r="H41" i="58"/>
  <c r="M41" i="58" s="1"/>
  <c r="H23" i="58"/>
  <c r="O23" i="58" s="1"/>
  <c r="H39" i="58"/>
  <c r="O39" i="58" s="1"/>
  <c r="H17" i="58"/>
  <c r="M17" i="58" s="1"/>
  <c r="H33" i="58"/>
  <c r="M33" i="58" s="1"/>
  <c r="H49" i="58"/>
  <c r="M49" i="58" s="1"/>
  <c r="H50" i="58"/>
  <c r="O50" i="58" s="1"/>
  <c r="H7" i="58"/>
  <c r="O7" i="58" s="1"/>
  <c r="H11" i="58"/>
  <c r="O11" i="58" s="1"/>
  <c r="H18" i="58"/>
  <c r="M18" i="58" s="1"/>
  <c r="H5" i="58"/>
  <c r="M5" i="58" s="1"/>
  <c r="H3" i="58"/>
  <c r="M3" i="58" s="1"/>
  <c r="H19" i="58"/>
  <c r="O19" i="58" s="1"/>
  <c r="H35" i="58"/>
  <c r="O35" i="58" s="1"/>
  <c r="H51" i="58"/>
  <c r="O51" i="58" s="1"/>
  <c r="H15" i="58"/>
  <c r="H31" i="58"/>
  <c r="H47" i="58"/>
  <c r="H38" i="58"/>
  <c r="O38" i="58" s="1"/>
  <c r="H42" i="58"/>
  <c r="O42" i="58" s="1"/>
  <c r="O34" i="58"/>
  <c r="H22" i="58"/>
  <c r="H26" i="58"/>
  <c r="H6" i="58"/>
  <c r="O6" i="58" s="1"/>
  <c r="H14" i="58"/>
  <c r="H30" i="58"/>
  <c r="H46" i="58"/>
  <c r="H16" i="58"/>
  <c r="H32" i="58"/>
  <c r="H48" i="58"/>
  <c r="O9" i="58"/>
  <c r="M11" i="60"/>
  <c r="D58" i="28"/>
  <c r="L58" i="28" s="1"/>
  <c r="F7" i="60"/>
  <c r="E54" i="28" s="1"/>
  <c r="D54" i="28"/>
  <c r="L54" i="28" s="1"/>
  <c r="F13" i="60"/>
  <c r="E60" i="28" s="1"/>
  <c r="D60" i="28"/>
  <c r="L60" i="28" s="1"/>
  <c r="H4" i="58"/>
  <c r="O4" i="58" s="1"/>
  <c r="H20" i="58"/>
  <c r="O20" i="58" s="1"/>
  <c r="H36" i="58"/>
  <c r="O36" i="58" s="1"/>
  <c r="H52" i="58"/>
  <c r="O52" i="58" s="1"/>
  <c r="H24" i="58"/>
  <c r="O24" i="58" s="1"/>
  <c r="H40" i="58"/>
  <c r="O40" i="58" s="1"/>
  <c r="H28" i="58"/>
  <c r="O28" i="58" s="1"/>
  <c r="H44" i="58"/>
  <c r="O44" i="58" s="1"/>
  <c r="H12" i="58"/>
  <c r="O12" i="58" s="1"/>
  <c r="M9" i="60"/>
  <c r="M41" i="60"/>
  <c r="S41" i="60" s="1"/>
  <c r="M49" i="60"/>
  <c r="S49" i="60" s="1"/>
  <c r="M7" i="60"/>
  <c r="M13" i="60"/>
  <c r="S13" i="60" s="1"/>
  <c r="M43" i="60"/>
  <c r="S43" i="60" s="1"/>
  <c r="M51" i="60"/>
  <c r="S51" i="60" s="1"/>
  <c r="M45" i="60"/>
  <c r="S45" i="60" s="1"/>
  <c r="M53" i="60"/>
  <c r="S53" i="60" s="1"/>
  <c r="M47" i="60"/>
  <c r="S47" i="60" s="1"/>
  <c r="M55" i="60"/>
  <c r="S55" i="60" s="1"/>
  <c r="F11" i="60"/>
  <c r="E58" i="28" s="1"/>
  <c r="R4" i="60"/>
  <c r="G4" i="51" s="1"/>
  <c r="F9" i="60"/>
  <c r="E56" i="28" s="1"/>
  <c r="S9" i="60"/>
  <c r="F6" i="60"/>
  <c r="E53" i="28" s="1"/>
  <c r="M16" i="60"/>
  <c r="S16" i="60" s="1"/>
  <c r="F19" i="60"/>
  <c r="E66" i="28" s="1"/>
  <c r="M19" i="60"/>
  <c r="S19" i="60" s="1"/>
  <c r="F24" i="60"/>
  <c r="E71" i="28" s="1"/>
  <c r="F28" i="60"/>
  <c r="E75" i="28" s="1"/>
  <c r="F32" i="60"/>
  <c r="E79" i="28" s="1"/>
  <c r="F34" i="60"/>
  <c r="E81" i="28" s="1"/>
  <c r="F36" i="60"/>
  <c r="E83" i="28" s="1"/>
  <c r="M42" i="60"/>
  <c r="S42" i="60" s="1"/>
  <c r="F42" i="60"/>
  <c r="E89" i="28" s="1"/>
  <c r="S11" i="60"/>
  <c r="M24" i="60"/>
  <c r="S24" i="60" s="1"/>
  <c r="M34" i="60"/>
  <c r="S34" i="60" s="1"/>
  <c r="M36" i="60"/>
  <c r="S36" i="60" s="1"/>
  <c r="M44" i="60"/>
  <c r="S44" i="60" s="1"/>
  <c r="F44" i="60"/>
  <c r="E91" i="28" s="1"/>
  <c r="M52" i="60"/>
  <c r="S52" i="60" s="1"/>
  <c r="F52" i="60"/>
  <c r="E99" i="28" s="1"/>
  <c r="M10" i="60"/>
  <c r="S10" i="60" s="1"/>
  <c r="F10" i="60"/>
  <c r="E57" i="28" s="1"/>
  <c r="M14" i="60"/>
  <c r="S14" i="60" s="1"/>
  <c r="F17" i="60"/>
  <c r="E64" i="28" s="1"/>
  <c r="M17" i="60"/>
  <c r="S17" i="60" s="1"/>
  <c r="M18" i="60"/>
  <c r="S18" i="60" s="1"/>
  <c r="F21" i="60"/>
  <c r="E68" i="28" s="1"/>
  <c r="M21" i="60"/>
  <c r="S21" i="60" s="1"/>
  <c r="M22" i="60"/>
  <c r="S22" i="60" s="1"/>
  <c r="F38" i="60"/>
  <c r="E85" i="28" s="1"/>
  <c r="M38" i="60"/>
  <c r="S38" i="60" s="1"/>
  <c r="M46" i="60"/>
  <c r="S46" i="60" s="1"/>
  <c r="F46" i="60"/>
  <c r="E93" i="28" s="1"/>
  <c r="M54" i="60"/>
  <c r="S54" i="60" s="1"/>
  <c r="F54" i="60"/>
  <c r="E101" i="28" s="1"/>
  <c r="F15" i="60"/>
  <c r="E62" i="28" s="1"/>
  <c r="M15" i="60"/>
  <c r="S15" i="60" s="1"/>
  <c r="M20" i="60"/>
  <c r="S20" i="60" s="1"/>
  <c r="F23" i="60"/>
  <c r="E70" i="28" s="1"/>
  <c r="M23" i="60"/>
  <c r="S23" i="60" s="1"/>
  <c r="F26" i="60"/>
  <c r="E73" i="28" s="1"/>
  <c r="F30" i="60"/>
  <c r="E77" i="28" s="1"/>
  <c r="M50" i="60"/>
  <c r="S50" i="60" s="1"/>
  <c r="F50" i="60"/>
  <c r="E97" i="28" s="1"/>
  <c r="F16" i="60"/>
  <c r="E63" i="28" s="1"/>
  <c r="F20" i="60"/>
  <c r="E67" i="28" s="1"/>
  <c r="Q23" i="60"/>
  <c r="M26" i="60"/>
  <c r="S26" i="60" s="1"/>
  <c r="M28" i="60"/>
  <c r="S28" i="60" s="1"/>
  <c r="M30" i="60"/>
  <c r="S30" i="60" s="1"/>
  <c r="M32" i="60"/>
  <c r="S32" i="60" s="1"/>
  <c r="M8" i="60"/>
  <c r="F8" i="60"/>
  <c r="E55" i="28" s="1"/>
  <c r="M12" i="60"/>
  <c r="S12" i="60" s="1"/>
  <c r="F12" i="60"/>
  <c r="E59" i="28" s="1"/>
  <c r="F14" i="60"/>
  <c r="E61" i="28" s="1"/>
  <c r="F18" i="60"/>
  <c r="E65" i="28" s="1"/>
  <c r="F22" i="60"/>
  <c r="E69" i="28" s="1"/>
  <c r="M40" i="60"/>
  <c r="S40" i="60" s="1"/>
  <c r="F40" i="60"/>
  <c r="E87" i="28" s="1"/>
  <c r="M48" i="60"/>
  <c r="S48" i="60" s="1"/>
  <c r="F48" i="60"/>
  <c r="E95" i="28" s="1"/>
  <c r="F25" i="60"/>
  <c r="E72" i="28" s="1"/>
  <c r="F27" i="60"/>
  <c r="E74" i="28" s="1"/>
  <c r="F29" i="60"/>
  <c r="E76" i="28" s="1"/>
  <c r="F31" i="60"/>
  <c r="E78" i="28" s="1"/>
  <c r="F33" i="60"/>
  <c r="E80" i="28" s="1"/>
  <c r="F35" i="60"/>
  <c r="E82" i="28" s="1"/>
  <c r="F37" i="60"/>
  <c r="E84" i="28" s="1"/>
  <c r="F39" i="60"/>
  <c r="E86" i="28" s="1"/>
  <c r="M25" i="60"/>
  <c r="S25" i="60" s="1"/>
  <c r="M27" i="60"/>
  <c r="S27" i="60" s="1"/>
  <c r="M29" i="60"/>
  <c r="S29" i="60" s="1"/>
  <c r="M31" i="60"/>
  <c r="S31" i="60" s="1"/>
  <c r="M33" i="60"/>
  <c r="S33" i="60" s="1"/>
  <c r="M35" i="60"/>
  <c r="S35" i="60" s="1"/>
  <c r="M37" i="60"/>
  <c r="S37" i="60" s="1"/>
  <c r="M39" i="60"/>
  <c r="S39" i="60" s="1"/>
  <c r="F41" i="60"/>
  <c r="E88" i="28" s="1"/>
  <c r="F43" i="60"/>
  <c r="E90" i="28" s="1"/>
  <c r="F45" i="60"/>
  <c r="E92" i="28" s="1"/>
  <c r="F47" i="60"/>
  <c r="E94" i="28" s="1"/>
  <c r="F49" i="60"/>
  <c r="E96" i="28" s="1"/>
  <c r="F51" i="60"/>
  <c r="E98" i="28" s="1"/>
  <c r="F53" i="60"/>
  <c r="E100" i="28" s="1"/>
  <c r="F55" i="60"/>
  <c r="E102" i="28" s="1"/>
  <c r="D26" i="52"/>
  <c r="D25" i="52"/>
  <c r="Q8" i="60"/>
  <c r="Q10" i="60"/>
  <c r="Q12" i="60"/>
  <c r="Q15" i="60"/>
  <c r="Q16" i="60"/>
  <c r="Q17" i="60"/>
  <c r="Q18" i="60"/>
  <c r="Q19" i="60"/>
  <c r="Q20" i="60"/>
  <c r="Q21" i="60"/>
  <c r="Q22" i="60"/>
  <c r="Q24" i="60"/>
  <c r="Q25" i="60"/>
  <c r="Q26" i="60"/>
  <c r="Q27" i="60"/>
  <c r="Q28" i="60"/>
  <c r="Q29" i="60"/>
  <c r="Q30" i="60"/>
  <c r="Q31" i="60"/>
  <c r="Q32" i="60"/>
  <c r="Q33" i="60"/>
  <c r="Q34" i="60"/>
  <c r="Q35" i="60"/>
  <c r="Q36" i="60"/>
  <c r="Q37" i="60"/>
  <c r="Q38" i="60"/>
  <c r="Q39" i="60"/>
  <c r="Q40" i="60"/>
  <c r="Q41" i="60"/>
  <c r="Q42" i="60"/>
  <c r="Q43" i="60"/>
  <c r="Q44" i="60"/>
  <c r="Q45" i="60"/>
  <c r="Q46" i="60"/>
  <c r="Q47" i="60"/>
  <c r="Q48" i="60"/>
  <c r="Q49" i="60"/>
  <c r="Q50" i="60"/>
  <c r="Q51" i="60"/>
  <c r="Q52" i="60"/>
  <c r="Q53" i="60"/>
  <c r="Q54" i="60"/>
  <c r="Q55" i="60"/>
  <c r="O25" i="58" l="1"/>
  <c r="M13" i="58"/>
  <c r="O10" i="58"/>
  <c r="M8" i="58"/>
  <c r="O41" i="58"/>
  <c r="M21" i="58"/>
  <c r="M23" i="58"/>
  <c r="O33" i="58"/>
  <c r="M19" i="58"/>
  <c r="M11" i="58"/>
  <c r="M27" i="58"/>
  <c r="M43" i="58"/>
  <c r="M29" i="58"/>
  <c r="O37" i="58"/>
  <c r="M45" i="58"/>
  <c r="O17" i="58"/>
  <c r="M7" i="58"/>
  <c r="O49" i="58"/>
  <c r="M39" i="58"/>
  <c r="M50" i="58"/>
  <c r="M51" i="58"/>
  <c r="O3" i="58"/>
  <c r="O18" i="58"/>
  <c r="M42" i="58"/>
  <c r="M35" i="58"/>
  <c r="O5" i="58"/>
  <c r="M6" i="58"/>
  <c r="O47" i="58"/>
  <c r="M47" i="58"/>
  <c r="M38" i="58"/>
  <c r="O31" i="58"/>
  <c r="M31" i="58"/>
  <c r="O15" i="58"/>
  <c r="M15" i="58"/>
  <c r="M16" i="58"/>
  <c r="O16" i="58"/>
  <c r="M46" i="58"/>
  <c r="O46" i="58"/>
  <c r="O26" i="58"/>
  <c r="M26" i="58"/>
  <c r="M4" i="58"/>
  <c r="M48" i="58"/>
  <c r="O48" i="58"/>
  <c r="M30" i="58"/>
  <c r="O30" i="58"/>
  <c r="M22" i="58"/>
  <c r="O22" i="58"/>
  <c r="M32" i="58"/>
  <c r="O32" i="58"/>
  <c r="M14" i="58"/>
  <c r="O14" i="58"/>
  <c r="N6" i="60"/>
  <c r="M53" i="28" s="1"/>
  <c r="N7" i="60"/>
  <c r="M54" i="28" s="1"/>
  <c r="N8" i="60"/>
  <c r="M55" i="28" s="1"/>
  <c r="M44" i="58"/>
  <c r="M52" i="58"/>
  <c r="M36" i="58"/>
  <c r="M24" i="58"/>
  <c r="M12" i="58"/>
  <c r="M28" i="58"/>
  <c r="M40" i="58"/>
  <c r="M20" i="58"/>
  <c r="T51" i="60"/>
  <c r="T49" i="60"/>
  <c r="T41" i="60"/>
  <c r="T29" i="60"/>
  <c r="T35" i="60"/>
  <c r="T39" i="60"/>
  <c r="T31" i="60"/>
  <c r="T10" i="60"/>
  <c r="T37" i="60"/>
  <c r="T27" i="60"/>
  <c r="T33" i="60"/>
  <c r="T25" i="60"/>
  <c r="T15" i="60"/>
  <c r="T47" i="60"/>
  <c r="T45" i="60"/>
  <c r="T53" i="60"/>
  <c r="T43" i="60"/>
  <c r="T12" i="60"/>
  <c r="T52" i="60"/>
  <c r="T44" i="60"/>
  <c r="T16" i="60"/>
  <c r="T34" i="60"/>
  <c r="T24" i="60"/>
  <c r="T28" i="60"/>
  <c r="T26" i="60"/>
  <c r="T18" i="60"/>
  <c r="T21" i="60"/>
  <c r="T23" i="60"/>
  <c r="T32" i="60"/>
  <c r="T20" i="60"/>
  <c r="T36" i="60"/>
  <c r="T42" i="60"/>
  <c r="T17" i="60"/>
  <c r="T19" i="60"/>
  <c r="T30" i="60"/>
  <c r="T54" i="60"/>
  <c r="T46" i="60"/>
  <c r="T55" i="60"/>
  <c r="T48" i="60"/>
  <c r="T40" i="60"/>
  <c r="T50" i="60"/>
  <c r="T38" i="60"/>
  <c r="T22" i="60"/>
  <c r="Q13" i="60"/>
  <c r="T13" i="60" s="1"/>
  <c r="Q128" i="22"/>
  <c r="O128" i="22"/>
  <c r="Q127" i="22"/>
  <c r="O127" i="22"/>
  <c r="Q126" i="22"/>
  <c r="O126" i="22"/>
  <c r="S7" i="60" l="1"/>
  <c r="N4" i="60"/>
  <c r="C4" i="51" s="1"/>
  <c r="S8" i="60"/>
  <c r="T8" i="60" s="1"/>
  <c r="S6" i="60"/>
  <c r="T9" i="60"/>
  <c r="Q14" i="60"/>
  <c r="T14" i="60" s="1"/>
  <c r="Q11" i="60"/>
  <c r="T11" i="60" s="1"/>
  <c r="Q7" i="60"/>
  <c r="T7" i="60" l="1"/>
  <c r="S4" i="60"/>
  <c r="H4" i="51" s="1"/>
  <c r="O4" i="60"/>
  <c r="D4" i="51" s="1"/>
  <c r="P4" i="60"/>
  <c r="E4" i="51" s="1"/>
  <c r="B59" i="1"/>
  <c r="B42" i="37"/>
  <c r="B29" i="61" s="1"/>
  <c r="B44" i="52"/>
  <c r="B195" i="28"/>
  <c r="J195" i="28"/>
  <c r="K195" i="28"/>
  <c r="L195" i="28"/>
  <c r="B196" i="28"/>
  <c r="J196" i="28"/>
  <c r="K196" i="28"/>
  <c r="L196" i="28"/>
  <c r="B197" i="28"/>
  <c r="J197" i="28"/>
  <c r="K197" i="28"/>
  <c r="L197" i="28"/>
  <c r="B198" i="28"/>
  <c r="J198" i="28"/>
  <c r="K198" i="28"/>
  <c r="L198" i="28"/>
  <c r="B199" i="28"/>
  <c r="J199" i="28"/>
  <c r="K199" i="28"/>
  <c r="L199" i="28"/>
  <c r="B200" i="28"/>
  <c r="J200" i="28"/>
  <c r="K200" i="28"/>
  <c r="L200" i="28"/>
  <c r="B201" i="28"/>
  <c r="J201" i="28"/>
  <c r="K201" i="28"/>
  <c r="L201" i="28"/>
  <c r="B202" i="28"/>
  <c r="J202" i="28"/>
  <c r="K202" i="28"/>
  <c r="L202" i="28"/>
  <c r="B203" i="28"/>
  <c r="J203" i="28"/>
  <c r="K203" i="28"/>
  <c r="L203" i="28"/>
  <c r="B204" i="28"/>
  <c r="J204" i="28"/>
  <c r="K204" i="28"/>
  <c r="L204" i="28"/>
  <c r="B205" i="28"/>
  <c r="J205" i="28"/>
  <c r="K205" i="28"/>
  <c r="L205" i="28"/>
  <c r="B206" i="28"/>
  <c r="J206" i="28"/>
  <c r="K206" i="28"/>
  <c r="L206" i="28"/>
  <c r="B207" i="28"/>
  <c r="J207" i="28"/>
  <c r="K207" i="28"/>
  <c r="L207" i="28"/>
  <c r="B208" i="28"/>
  <c r="J208" i="28"/>
  <c r="K208" i="28"/>
  <c r="L208" i="28"/>
  <c r="B209" i="28"/>
  <c r="J209" i="28"/>
  <c r="K209" i="28"/>
  <c r="L209" i="28"/>
  <c r="B210" i="28"/>
  <c r="J210" i="28"/>
  <c r="K210" i="28"/>
  <c r="L210" i="28"/>
  <c r="B211" i="28"/>
  <c r="J211" i="28"/>
  <c r="K211" i="28"/>
  <c r="L211" i="28"/>
  <c r="B212" i="28"/>
  <c r="J212" i="28"/>
  <c r="K212" i="28"/>
  <c r="L212" i="28"/>
  <c r="J194" i="28"/>
  <c r="K194" i="28"/>
  <c r="L194" i="28"/>
  <c r="L193" i="28"/>
  <c r="K193" i="28"/>
  <c r="J193" i="28"/>
  <c r="D193" i="28"/>
  <c r="D194" i="28"/>
  <c r="D195" i="28"/>
  <c r="D196" i="28"/>
  <c r="D197" i="28"/>
  <c r="D198" i="28"/>
  <c r="D199" i="28"/>
  <c r="D200" i="28"/>
  <c r="D201" i="28"/>
  <c r="D202" i="28"/>
  <c r="D203" i="28"/>
  <c r="D204" i="28"/>
  <c r="D205" i="28"/>
  <c r="D206" i="28"/>
  <c r="D207" i="28"/>
  <c r="D208" i="28"/>
  <c r="D209" i="28"/>
  <c r="D210" i="28"/>
  <c r="D211" i="28"/>
  <c r="D212" i="28"/>
  <c r="B194" i="28"/>
  <c r="B193" i="28"/>
  <c r="B165" i="28"/>
  <c r="F165" i="28"/>
  <c r="J165" i="28"/>
  <c r="K165" i="28"/>
  <c r="L165" i="28"/>
  <c r="B166" i="28"/>
  <c r="F166" i="28"/>
  <c r="J166" i="28"/>
  <c r="K166" i="28"/>
  <c r="L166" i="28"/>
  <c r="B167" i="28"/>
  <c r="F167" i="28"/>
  <c r="J167" i="28"/>
  <c r="K167" i="28"/>
  <c r="L167" i="28"/>
  <c r="B168" i="28"/>
  <c r="F168" i="28"/>
  <c r="J168" i="28"/>
  <c r="K168" i="28"/>
  <c r="L168" i="28"/>
  <c r="B169" i="28"/>
  <c r="F169" i="28"/>
  <c r="J169" i="28"/>
  <c r="K169" i="28"/>
  <c r="L169" i="28"/>
  <c r="B170" i="28"/>
  <c r="F170" i="28"/>
  <c r="J170" i="28"/>
  <c r="K170" i="28"/>
  <c r="L170" i="28"/>
  <c r="B171" i="28"/>
  <c r="F171" i="28"/>
  <c r="J171" i="28"/>
  <c r="K171" i="28"/>
  <c r="L171" i="28"/>
  <c r="B172" i="28"/>
  <c r="F172" i="28"/>
  <c r="J172" i="28"/>
  <c r="K172" i="28"/>
  <c r="L172" i="28"/>
  <c r="B173" i="28"/>
  <c r="F173" i="28"/>
  <c r="J173" i="28"/>
  <c r="K173" i="28"/>
  <c r="L173" i="28"/>
  <c r="B174" i="28"/>
  <c r="F174" i="28"/>
  <c r="J174" i="28"/>
  <c r="K174" i="28"/>
  <c r="L174" i="28"/>
  <c r="B175" i="28"/>
  <c r="F175" i="28"/>
  <c r="J175" i="28"/>
  <c r="K175" i="28"/>
  <c r="L175" i="28"/>
  <c r="B176" i="28"/>
  <c r="F176" i="28"/>
  <c r="J176" i="28"/>
  <c r="K176" i="28"/>
  <c r="L176" i="28"/>
  <c r="B177" i="28"/>
  <c r="F177" i="28"/>
  <c r="J177" i="28"/>
  <c r="K177" i="28"/>
  <c r="L177" i="28"/>
  <c r="B178" i="28"/>
  <c r="F178" i="28"/>
  <c r="J178" i="28"/>
  <c r="K178" i="28"/>
  <c r="L178" i="28"/>
  <c r="B179" i="28"/>
  <c r="F179" i="28"/>
  <c r="J179" i="28"/>
  <c r="K179" i="28"/>
  <c r="L179" i="28"/>
  <c r="B180" i="28"/>
  <c r="F180" i="28"/>
  <c r="J180" i="28"/>
  <c r="K180" i="28"/>
  <c r="L180" i="28"/>
  <c r="B181" i="28"/>
  <c r="F181" i="28"/>
  <c r="J181" i="28"/>
  <c r="K181" i="28"/>
  <c r="L181" i="28"/>
  <c r="B182" i="28"/>
  <c r="F182" i="28"/>
  <c r="J182" i="28"/>
  <c r="K182" i="28"/>
  <c r="L182" i="28"/>
  <c r="B183" i="28"/>
  <c r="F183" i="28"/>
  <c r="J183" i="28"/>
  <c r="K183" i="28"/>
  <c r="L183" i="28"/>
  <c r="B184" i="28"/>
  <c r="F184" i="28"/>
  <c r="J184" i="28"/>
  <c r="K184" i="28"/>
  <c r="L184" i="28"/>
  <c r="B185" i="28"/>
  <c r="F185" i="28"/>
  <c r="J185" i="28"/>
  <c r="K185" i="28"/>
  <c r="L185" i="28"/>
  <c r="B186" i="28"/>
  <c r="F186" i="28"/>
  <c r="J186" i="28"/>
  <c r="K186" i="28"/>
  <c r="L186" i="28"/>
  <c r="B187" i="28"/>
  <c r="F187" i="28"/>
  <c r="J187" i="28"/>
  <c r="K187" i="28"/>
  <c r="L187" i="28"/>
  <c r="B188" i="28"/>
  <c r="F188" i="28"/>
  <c r="J188" i="28"/>
  <c r="K188" i="28"/>
  <c r="L188" i="28"/>
  <c r="B189" i="28"/>
  <c r="F189" i="28"/>
  <c r="J189" i="28"/>
  <c r="K189" i="28"/>
  <c r="L189" i="28"/>
  <c r="B190" i="28"/>
  <c r="F190" i="28"/>
  <c r="J190" i="28"/>
  <c r="K190" i="28"/>
  <c r="L190" i="28"/>
  <c r="B191" i="28"/>
  <c r="F191" i="28"/>
  <c r="J191" i="28"/>
  <c r="K191" i="28"/>
  <c r="L191" i="28"/>
  <c r="B192" i="28"/>
  <c r="F192" i="28"/>
  <c r="J192" i="28"/>
  <c r="K192" i="28"/>
  <c r="L192" i="28"/>
  <c r="F164" i="28"/>
  <c r="J164" i="28"/>
  <c r="K164" i="28"/>
  <c r="L164" i="28"/>
  <c r="L163" i="28"/>
  <c r="K163" i="28"/>
  <c r="J163" i="28"/>
  <c r="F163" i="28"/>
  <c r="B164" i="28"/>
  <c r="B163" i="28"/>
  <c r="B159" i="28"/>
  <c r="F159" i="28"/>
  <c r="J159" i="28"/>
  <c r="K159" i="28"/>
  <c r="L159" i="28"/>
  <c r="B160" i="28"/>
  <c r="F160" i="28"/>
  <c r="J160" i="28"/>
  <c r="K160" i="28"/>
  <c r="L160" i="28"/>
  <c r="B161" i="28"/>
  <c r="F161" i="28"/>
  <c r="J161" i="28"/>
  <c r="K161" i="28"/>
  <c r="L161" i="28"/>
  <c r="B162" i="28"/>
  <c r="F162" i="28"/>
  <c r="J162" i="28"/>
  <c r="K162" i="28"/>
  <c r="L162" i="28"/>
  <c r="B135" i="28"/>
  <c r="F135" i="28"/>
  <c r="J135" i="28"/>
  <c r="K135" i="28"/>
  <c r="L135" i="28"/>
  <c r="B136" i="28"/>
  <c r="F136" i="28"/>
  <c r="J136" i="28"/>
  <c r="K136" i="28"/>
  <c r="L136" i="28"/>
  <c r="B137" i="28"/>
  <c r="F137" i="28"/>
  <c r="J137" i="28"/>
  <c r="K137" i="28"/>
  <c r="L137" i="28"/>
  <c r="B138" i="28"/>
  <c r="F138" i="28"/>
  <c r="J138" i="28"/>
  <c r="K138" i="28"/>
  <c r="L138" i="28"/>
  <c r="B139" i="28"/>
  <c r="F139" i="28"/>
  <c r="J139" i="28"/>
  <c r="K139" i="28"/>
  <c r="L139" i="28"/>
  <c r="B140" i="28"/>
  <c r="F140" i="28"/>
  <c r="J140" i="28"/>
  <c r="K140" i="28"/>
  <c r="L140" i="28"/>
  <c r="B141" i="28"/>
  <c r="F141" i="28"/>
  <c r="J141" i="28"/>
  <c r="K141" i="28"/>
  <c r="L141" i="28"/>
  <c r="B142" i="28"/>
  <c r="F142" i="28"/>
  <c r="J142" i="28"/>
  <c r="K142" i="28"/>
  <c r="L142" i="28"/>
  <c r="B143" i="28"/>
  <c r="F143" i="28"/>
  <c r="J143" i="28"/>
  <c r="K143" i="28"/>
  <c r="L143" i="28"/>
  <c r="B144" i="28"/>
  <c r="F144" i="28"/>
  <c r="J144" i="28"/>
  <c r="K144" i="28"/>
  <c r="L144" i="28"/>
  <c r="B145" i="28"/>
  <c r="F145" i="28"/>
  <c r="J145" i="28"/>
  <c r="K145" i="28"/>
  <c r="L145" i="28"/>
  <c r="B146" i="28"/>
  <c r="F146" i="28"/>
  <c r="J146" i="28"/>
  <c r="K146" i="28"/>
  <c r="L146" i="28"/>
  <c r="B147" i="28"/>
  <c r="F147" i="28"/>
  <c r="J147" i="28"/>
  <c r="K147" i="28"/>
  <c r="L147" i="28"/>
  <c r="B148" i="28"/>
  <c r="F148" i="28"/>
  <c r="J148" i="28"/>
  <c r="K148" i="28"/>
  <c r="L148" i="28"/>
  <c r="B149" i="28"/>
  <c r="F149" i="28"/>
  <c r="J149" i="28"/>
  <c r="K149" i="28"/>
  <c r="L149" i="28"/>
  <c r="B150" i="28"/>
  <c r="F150" i="28"/>
  <c r="J150" i="28"/>
  <c r="K150" i="28"/>
  <c r="L150" i="28"/>
  <c r="B151" i="28"/>
  <c r="F151" i="28"/>
  <c r="J151" i="28"/>
  <c r="K151" i="28"/>
  <c r="L151" i="28"/>
  <c r="B152" i="28"/>
  <c r="F152" i="28"/>
  <c r="J152" i="28"/>
  <c r="K152" i="28"/>
  <c r="L152" i="28"/>
  <c r="B153" i="28"/>
  <c r="F153" i="28"/>
  <c r="J153" i="28"/>
  <c r="K153" i="28"/>
  <c r="L153" i="28"/>
  <c r="B154" i="28"/>
  <c r="F154" i="28"/>
  <c r="J154" i="28"/>
  <c r="K154" i="28"/>
  <c r="L154" i="28"/>
  <c r="B155" i="28"/>
  <c r="F155" i="28"/>
  <c r="J155" i="28"/>
  <c r="K155" i="28"/>
  <c r="L155" i="28"/>
  <c r="B156" i="28"/>
  <c r="F156" i="28"/>
  <c r="J156" i="28"/>
  <c r="K156" i="28"/>
  <c r="L156" i="28"/>
  <c r="B157" i="28"/>
  <c r="F157" i="28"/>
  <c r="J157" i="28"/>
  <c r="K157" i="28"/>
  <c r="L157" i="28"/>
  <c r="B158" i="28"/>
  <c r="F158" i="28"/>
  <c r="J158" i="28"/>
  <c r="K158" i="28"/>
  <c r="L158" i="28"/>
  <c r="L134" i="28"/>
  <c r="F134" i="28"/>
  <c r="J134" i="28"/>
  <c r="K134" i="28"/>
  <c r="L133" i="28"/>
  <c r="K133" i="28"/>
  <c r="J133" i="28"/>
  <c r="F133" i="28"/>
  <c r="B134" i="28"/>
  <c r="B13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4" i="28"/>
  <c r="K5" i="28"/>
  <c r="K6" i="28"/>
  <c r="K7" i="28"/>
  <c r="K8"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3" i="28"/>
  <c r="B28" i="26"/>
  <c r="B22" i="26"/>
  <c r="M203" i="28"/>
  <c r="H203" i="28"/>
  <c r="M204" i="28"/>
  <c r="H204" i="28"/>
  <c r="M205" i="28"/>
  <c r="H205" i="28"/>
  <c r="M206" i="28"/>
  <c r="H206" i="28"/>
  <c r="M207" i="28"/>
  <c r="H207" i="28"/>
  <c r="M208" i="28"/>
  <c r="H208" i="28"/>
  <c r="M209" i="28"/>
  <c r="H209" i="28"/>
  <c r="M210" i="28"/>
  <c r="H210" i="28"/>
  <c r="M211" i="28"/>
  <c r="H211" i="28"/>
  <c r="M212" i="28"/>
  <c r="H212" i="28"/>
  <c r="M196" i="28"/>
  <c r="M197" i="28"/>
  <c r="M198" i="28"/>
  <c r="M199" i="28"/>
  <c r="M200" i="28"/>
  <c r="M201" i="28"/>
  <c r="M202" i="28"/>
  <c r="H194" i="28"/>
  <c r="H195" i="28"/>
  <c r="H196" i="28"/>
  <c r="H197" i="28"/>
  <c r="H198" i="28"/>
  <c r="H199" i="28"/>
  <c r="H200" i="28"/>
  <c r="H201" i="28"/>
  <c r="H202" i="28"/>
  <c r="G193" i="28"/>
  <c r="G194" i="28"/>
  <c r="G195" i="28"/>
  <c r="G196" i="28"/>
  <c r="G197" i="28"/>
  <c r="G198" i="28"/>
  <c r="G199" i="28"/>
  <c r="G200" i="28"/>
  <c r="G201" i="28"/>
  <c r="G202" i="28"/>
  <c r="D141" i="28"/>
  <c r="C7" i="1"/>
  <c r="Q7" i="1" s="1"/>
  <c r="C8" i="1"/>
  <c r="Q8" i="1" s="1"/>
  <c r="C9" i="1"/>
  <c r="Q9" i="1" s="1"/>
  <c r="C10" i="1"/>
  <c r="Q10" i="1" s="1"/>
  <c r="C11" i="1"/>
  <c r="K11" i="1" s="1"/>
  <c r="C12" i="1"/>
  <c r="K12" i="1" s="1"/>
  <c r="C13" i="1"/>
  <c r="K13" i="1" s="1"/>
  <c r="C14" i="1"/>
  <c r="K14" i="1" s="1"/>
  <c r="C15" i="1"/>
  <c r="C16" i="1"/>
  <c r="K16" i="1" s="1"/>
  <c r="C17" i="1"/>
  <c r="K17" i="1" s="1"/>
  <c r="C18" i="1"/>
  <c r="C19" i="1"/>
  <c r="C20" i="1"/>
  <c r="K20" i="1" s="1"/>
  <c r="C21" i="1"/>
  <c r="C22" i="1"/>
  <c r="K22" i="1" s="1"/>
  <c r="C23" i="1"/>
  <c r="K23" i="1" s="1"/>
  <c r="C24" i="1"/>
  <c r="K24" i="1" s="1"/>
  <c r="C25" i="1"/>
  <c r="C26" i="1"/>
  <c r="K26" i="1" s="1"/>
  <c r="C27" i="1"/>
  <c r="K27" i="1" s="1"/>
  <c r="C28" i="1"/>
  <c r="C29" i="1"/>
  <c r="C30" i="1"/>
  <c r="K30" i="1" s="1"/>
  <c r="C31" i="1"/>
  <c r="K31" i="1" s="1"/>
  <c r="C32" i="1"/>
  <c r="C33" i="1"/>
  <c r="K33" i="1" s="1"/>
  <c r="C34" i="1"/>
  <c r="C35" i="1"/>
  <c r="C36" i="1"/>
  <c r="K36" i="1" s="1"/>
  <c r="C37" i="1"/>
  <c r="C38" i="1"/>
  <c r="K38" i="1" s="1"/>
  <c r="C39" i="1"/>
  <c r="K39" i="1" s="1"/>
  <c r="C40" i="1"/>
  <c r="K40" i="1" s="1"/>
  <c r="C41" i="1"/>
  <c r="C42" i="1"/>
  <c r="K42" i="1" s="1"/>
  <c r="C43" i="1"/>
  <c r="K43" i="1" s="1"/>
  <c r="C44" i="1"/>
  <c r="K44" i="1" s="1"/>
  <c r="C45" i="1"/>
  <c r="C46" i="1"/>
  <c r="K46" i="1" s="1"/>
  <c r="C47" i="1"/>
  <c r="K47" i="1" s="1"/>
  <c r="C48" i="1"/>
  <c r="K48" i="1" s="1"/>
  <c r="C49" i="1"/>
  <c r="C50" i="1"/>
  <c r="K50" i="1" s="1"/>
  <c r="C51" i="1"/>
  <c r="C52" i="1"/>
  <c r="K52" i="1" s="1"/>
  <c r="C53" i="1"/>
  <c r="C54" i="1"/>
  <c r="K54" i="1" s="1"/>
  <c r="C55" i="1"/>
  <c r="K55" i="1" s="1"/>
  <c r="K10" i="1" l="1"/>
  <c r="R10" i="1"/>
  <c r="T10" i="1"/>
  <c r="S10" i="1"/>
  <c r="J10" i="1"/>
  <c r="S7" i="1"/>
  <c r="T7" i="1"/>
  <c r="K9" i="1"/>
  <c r="T9" i="1"/>
  <c r="J9" i="1"/>
  <c r="S9" i="1"/>
  <c r="N25" i="58"/>
  <c r="K28" i="1"/>
  <c r="J8" i="1"/>
  <c r="T8" i="1" s="1"/>
  <c r="K8" i="1"/>
  <c r="N29" i="58"/>
  <c r="K32" i="1"/>
  <c r="N48" i="58"/>
  <c r="K51" i="1"/>
  <c r="N32" i="58"/>
  <c r="K35" i="1"/>
  <c r="N16" i="58"/>
  <c r="K19" i="1"/>
  <c r="N12" i="58"/>
  <c r="K15" i="1"/>
  <c r="K7" i="1"/>
  <c r="J7" i="1"/>
  <c r="N31" i="58"/>
  <c r="K34" i="1"/>
  <c r="N15" i="58"/>
  <c r="K18" i="1"/>
  <c r="N50" i="58"/>
  <c r="K53" i="1"/>
  <c r="N46" i="58"/>
  <c r="K49" i="1"/>
  <c r="N42" i="58"/>
  <c r="K45" i="1"/>
  <c r="N38" i="58"/>
  <c r="K41" i="1"/>
  <c r="N34" i="58"/>
  <c r="K37" i="1"/>
  <c r="N26" i="58"/>
  <c r="K29" i="1"/>
  <c r="N22" i="58"/>
  <c r="K25" i="1"/>
  <c r="N18" i="58"/>
  <c r="K21" i="1"/>
  <c r="N44" i="58"/>
  <c r="N40" i="58"/>
  <c r="N51" i="58"/>
  <c r="N47" i="58"/>
  <c r="N43" i="58"/>
  <c r="N39" i="58"/>
  <c r="N35" i="58"/>
  <c r="N27" i="58"/>
  <c r="N23" i="58"/>
  <c r="N19" i="58"/>
  <c r="N52" i="58"/>
  <c r="N30" i="58"/>
  <c r="N14" i="58"/>
  <c r="N49" i="58"/>
  <c r="N45" i="58"/>
  <c r="N41" i="58"/>
  <c r="N37" i="58"/>
  <c r="N33" i="58"/>
  <c r="N21" i="58"/>
  <c r="N17" i="58"/>
  <c r="N13" i="58"/>
  <c r="N5" i="58"/>
  <c r="N36" i="58"/>
  <c r="N28" i="58"/>
  <c r="N24" i="58"/>
  <c r="N20" i="58"/>
  <c r="N11" i="58"/>
  <c r="N10" i="58"/>
  <c r="N9" i="58"/>
  <c r="N8" i="58"/>
  <c r="N7" i="58"/>
  <c r="N6" i="58"/>
  <c r="N4" i="58"/>
  <c r="R7" i="1"/>
  <c r="T6" i="60"/>
  <c r="Q4" i="60"/>
  <c r="G203" i="28"/>
  <c r="R14" i="1"/>
  <c r="R15" i="1"/>
  <c r="R12" i="1"/>
  <c r="R13" i="1"/>
  <c r="R9" i="1"/>
  <c r="R8" i="1"/>
  <c r="D45" i="28"/>
  <c r="F45" i="28" s="1"/>
  <c r="D8" i="28"/>
  <c r="F8" i="28" s="1"/>
  <c r="R11" i="1"/>
  <c r="D16" i="28"/>
  <c r="F16" i="28" s="1"/>
  <c r="H193" i="28"/>
  <c r="G211" i="28"/>
  <c r="G209" i="28"/>
  <c r="G212" i="28"/>
  <c r="G204" i="28"/>
  <c r="G205" i="28"/>
  <c r="G206" i="28"/>
  <c r="G210" i="28"/>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D139" i="28"/>
  <c r="D50" i="28"/>
  <c r="F50" i="28" s="1"/>
  <c r="D40" i="28"/>
  <c r="F40" i="28" s="1"/>
  <c r="D190" i="28"/>
  <c r="D44" i="28"/>
  <c r="F44" i="28" s="1"/>
  <c r="D47" i="28"/>
  <c r="F47" i="28" s="1"/>
  <c r="D27" i="28"/>
  <c r="F27" i="28" s="1"/>
  <c r="D175" i="28"/>
  <c r="D155" i="28"/>
  <c r="D43" i="28"/>
  <c r="F43" i="28" s="1"/>
  <c r="D23" i="28"/>
  <c r="F23" i="28" s="1"/>
  <c r="D183" i="28"/>
  <c r="D48" i="28"/>
  <c r="F48" i="28" s="1"/>
  <c r="D182" i="28"/>
  <c r="D51" i="28"/>
  <c r="F51" i="28" s="1"/>
  <c r="D31" i="28"/>
  <c r="F31" i="28" s="1"/>
  <c r="D15" i="28"/>
  <c r="F15" i="28" s="1"/>
  <c r="D7" i="28"/>
  <c r="F7" i="28" s="1"/>
  <c r="D167" i="28"/>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D38" i="28"/>
  <c r="F38" i="28" s="1"/>
  <c r="D30" i="28"/>
  <c r="F30" i="28" s="1"/>
  <c r="D22" i="28"/>
  <c r="F22" i="28" s="1"/>
  <c r="D14" i="28"/>
  <c r="F14" i="28" s="1"/>
  <c r="D6" i="28"/>
  <c r="F6" i="28" s="1"/>
  <c r="D134" i="28"/>
  <c r="D151" i="28"/>
  <c r="D143" i="28"/>
  <c r="D135" i="28"/>
  <c r="D163" i="28"/>
  <c r="D158" i="28"/>
  <c r="D150" i="28"/>
  <c r="D142" i="28"/>
  <c r="D188" i="28"/>
  <c r="D180" i="28"/>
  <c r="D172" i="28"/>
  <c r="D133" i="28"/>
  <c r="S8" i="1" l="1"/>
  <c r="T4" i="60"/>
  <c r="F4" i="51"/>
  <c r="J16" i="28"/>
  <c r="G16" i="28"/>
  <c r="H16" i="28"/>
  <c r="J8" i="28"/>
  <c r="H45" i="28"/>
  <c r="G45" i="28"/>
  <c r="J45" i="28"/>
  <c r="H15" i="28"/>
  <c r="H40" i="28"/>
  <c r="J21" i="28"/>
  <c r="H21" i="28"/>
  <c r="H12" i="28"/>
  <c r="G21" i="28"/>
  <c r="H38" i="28"/>
  <c r="J14" i="28"/>
  <c r="G27" i="28"/>
  <c r="H27" i="28"/>
  <c r="J5" i="28"/>
  <c r="G31" i="28"/>
  <c r="H20" i="28"/>
  <c r="G40" i="28"/>
  <c r="H31" i="28"/>
  <c r="J40" i="28"/>
  <c r="J31" i="28"/>
  <c r="G13" i="28"/>
  <c r="J23" i="28"/>
  <c r="H13" i="28"/>
  <c r="H49" i="28"/>
  <c r="G36" i="28"/>
  <c r="H44" i="28"/>
  <c r="J50" i="28"/>
  <c r="H23" i="28"/>
  <c r="H50" i="28"/>
  <c r="J4" i="28"/>
  <c r="J13" i="28"/>
  <c r="G50" i="28"/>
  <c r="G23" i="28"/>
  <c r="J38" i="28"/>
  <c r="J27" i="28"/>
  <c r="J47" i="28"/>
  <c r="J24" i="28"/>
  <c r="G30" i="28"/>
  <c r="J30" i="28"/>
  <c r="H30" i="28"/>
  <c r="G37" i="28"/>
  <c r="G22" i="28"/>
  <c r="G38" i="28"/>
  <c r="G24" i="28"/>
  <c r="G43" i="28"/>
  <c r="H37" i="28"/>
  <c r="J37" i="28"/>
  <c r="H24" i="28"/>
  <c r="J25" i="28"/>
  <c r="H25" i="28"/>
  <c r="G25" i="28"/>
  <c r="G46" i="28"/>
  <c r="H36" i="28"/>
  <c r="J52" i="28"/>
  <c r="G32" i="28"/>
  <c r="G49" i="28"/>
  <c r="H26" i="28"/>
  <c r="H52" i="28"/>
  <c r="G10" i="28"/>
  <c r="G52" i="28"/>
  <c r="H28" i="28"/>
  <c r="J32" i="28"/>
  <c r="G26" i="28"/>
  <c r="H29" i="28"/>
  <c r="J36" i="28"/>
  <c r="J29" i="28"/>
  <c r="G15" i="28"/>
  <c r="G29" i="28"/>
  <c r="H46" i="28"/>
  <c r="H32" i="28"/>
  <c r="G14" i="28"/>
  <c r="G33" i="28"/>
  <c r="H18" i="28"/>
  <c r="J18" i="28"/>
  <c r="G47" i="28"/>
  <c r="H19" i="28"/>
  <c r="H47" i="28"/>
  <c r="J22" i="28"/>
  <c r="J48" i="28"/>
  <c r="J19" i="28"/>
  <c r="H10" i="28"/>
  <c r="J51" i="28"/>
  <c r="H33" i="28"/>
  <c r="G18" i="28"/>
  <c r="J6" i="28"/>
  <c r="J26" i="28"/>
  <c r="J41" i="28"/>
  <c r="J43" i="28"/>
  <c r="G19" i="28"/>
  <c r="G51" i="28"/>
  <c r="H22" i="28"/>
  <c r="H41" i="28"/>
  <c r="H51" i="28"/>
  <c r="J33" i="28"/>
  <c r="G41" i="28"/>
  <c r="H14" i="28"/>
  <c r="H43" i="28"/>
  <c r="J10" i="28"/>
  <c r="J49" i="28"/>
  <c r="J7" i="28"/>
  <c r="G39" i="28"/>
  <c r="J20" i="28"/>
  <c r="G48" i="28"/>
  <c r="H39" i="28"/>
  <c r="J17" i="28"/>
  <c r="J39" i="28"/>
  <c r="J34" i="28"/>
  <c r="G9" i="28"/>
  <c r="G17" i="28"/>
  <c r="H48" i="28"/>
  <c r="G34" i="28"/>
  <c r="G42" i="28"/>
  <c r="H9" i="28"/>
  <c r="H17" i="28"/>
  <c r="J42" i="28"/>
  <c r="J35" i="28"/>
  <c r="J11" i="28"/>
  <c r="G11" i="28"/>
  <c r="G35" i="28"/>
  <c r="H34" i="28"/>
  <c r="H42" i="28"/>
  <c r="J12" i="28"/>
  <c r="J28" i="28"/>
  <c r="J44" i="28"/>
  <c r="J15" i="28"/>
  <c r="J9" i="28"/>
  <c r="G12" i="28"/>
  <c r="G20" i="28"/>
  <c r="G28" i="28"/>
  <c r="G44" i="28"/>
  <c r="H11" i="28"/>
  <c r="H35" i="28"/>
  <c r="J46" i="28"/>
  <c r="B104" i="28" l="1"/>
  <c r="C104" i="28"/>
  <c r="F104" i="28"/>
  <c r="J104" i="28"/>
  <c r="L104" i="28"/>
  <c r="B105" i="28"/>
  <c r="C105" i="28"/>
  <c r="F105" i="28"/>
  <c r="J105" i="28"/>
  <c r="L105" i="28"/>
  <c r="B106" i="28"/>
  <c r="C106" i="28"/>
  <c r="F106" i="28"/>
  <c r="J106" i="28"/>
  <c r="L106" i="28"/>
  <c r="B107" i="28"/>
  <c r="C107" i="28"/>
  <c r="F107" i="28"/>
  <c r="J107" i="28"/>
  <c r="L107" i="28"/>
  <c r="B108" i="28"/>
  <c r="C108" i="28"/>
  <c r="F108" i="28"/>
  <c r="J108" i="28"/>
  <c r="L108" i="28"/>
  <c r="B109" i="28"/>
  <c r="C109" i="28"/>
  <c r="F109" i="28"/>
  <c r="J109" i="28"/>
  <c r="L109" i="28"/>
  <c r="B110" i="28"/>
  <c r="C110" i="28"/>
  <c r="F110" i="28"/>
  <c r="J110" i="28"/>
  <c r="L110" i="28"/>
  <c r="B111" i="28"/>
  <c r="C111" i="28"/>
  <c r="F111" i="28"/>
  <c r="J111" i="28"/>
  <c r="L111" i="28"/>
  <c r="B112" i="28"/>
  <c r="C112" i="28"/>
  <c r="F112" i="28"/>
  <c r="J112" i="28"/>
  <c r="L112" i="28"/>
  <c r="B113" i="28"/>
  <c r="C113" i="28"/>
  <c r="F113" i="28"/>
  <c r="J113" i="28"/>
  <c r="L113" i="28"/>
  <c r="B114" i="28"/>
  <c r="C114" i="28"/>
  <c r="F114" i="28"/>
  <c r="J114" i="28"/>
  <c r="L114" i="28"/>
  <c r="B115" i="28"/>
  <c r="C115" i="28"/>
  <c r="F115" i="28"/>
  <c r="J115" i="28"/>
  <c r="L115" i="28"/>
  <c r="B116" i="28"/>
  <c r="C116" i="28"/>
  <c r="F116" i="28"/>
  <c r="J116" i="28"/>
  <c r="L116" i="28"/>
  <c r="B117" i="28"/>
  <c r="C117" i="28"/>
  <c r="F117" i="28"/>
  <c r="J117" i="28"/>
  <c r="L117" i="28"/>
  <c r="B118" i="28"/>
  <c r="C118" i="28"/>
  <c r="F118" i="28"/>
  <c r="J118" i="28"/>
  <c r="L118" i="28"/>
  <c r="B119" i="28"/>
  <c r="C119" i="28"/>
  <c r="F119" i="28"/>
  <c r="J119" i="28"/>
  <c r="L119" i="28"/>
  <c r="B120" i="28"/>
  <c r="C120" i="28"/>
  <c r="F120" i="28"/>
  <c r="J120" i="28"/>
  <c r="L120" i="28"/>
  <c r="B121" i="28"/>
  <c r="C121" i="28"/>
  <c r="F121" i="28"/>
  <c r="J121" i="28"/>
  <c r="L121" i="28"/>
  <c r="B122" i="28"/>
  <c r="C122" i="28"/>
  <c r="F122" i="28"/>
  <c r="J122" i="28"/>
  <c r="L122" i="28"/>
  <c r="B123" i="28"/>
  <c r="C123" i="28"/>
  <c r="F123" i="28"/>
  <c r="J123" i="28"/>
  <c r="L123" i="28"/>
  <c r="B124" i="28"/>
  <c r="C124" i="28"/>
  <c r="F124" i="28"/>
  <c r="J124" i="28"/>
  <c r="L124" i="28"/>
  <c r="B125" i="28"/>
  <c r="C125" i="28"/>
  <c r="F125" i="28"/>
  <c r="J125" i="28"/>
  <c r="L125" i="28"/>
  <c r="B126" i="28"/>
  <c r="C126" i="28"/>
  <c r="F126" i="28"/>
  <c r="J126" i="28"/>
  <c r="L126" i="28"/>
  <c r="B127" i="28"/>
  <c r="C127" i="28"/>
  <c r="F127" i="28"/>
  <c r="J127" i="28"/>
  <c r="L127" i="28"/>
  <c r="B128" i="28"/>
  <c r="C128" i="28"/>
  <c r="F128" i="28"/>
  <c r="J128" i="28"/>
  <c r="L128" i="28"/>
  <c r="B129" i="28"/>
  <c r="C129" i="28"/>
  <c r="F129" i="28"/>
  <c r="J129" i="28"/>
  <c r="L129" i="28"/>
  <c r="B130" i="28"/>
  <c r="C130" i="28"/>
  <c r="F130" i="28"/>
  <c r="J130" i="28"/>
  <c r="L130" i="28"/>
  <c r="B131" i="28"/>
  <c r="C131" i="28"/>
  <c r="F131" i="28"/>
  <c r="J131" i="28"/>
  <c r="L131" i="28"/>
  <c r="B132" i="28"/>
  <c r="C132" i="28"/>
  <c r="F132" i="28"/>
  <c r="J132" i="28"/>
  <c r="L132" i="28"/>
  <c r="L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1" i="52"/>
  <c r="D15" i="52"/>
  <c r="D27" i="52" s="1"/>
  <c r="D30" i="52" l="1"/>
  <c r="D29" i="52"/>
  <c r="D28" i="52"/>
  <c r="D20" i="52"/>
  <c r="D22" i="52"/>
  <c r="D19" i="52"/>
  <c r="B12" i="52"/>
  <c r="D14" i="52"/>
  <c r="D16" i="52"/>
  <c r="D13" i="52"/>
  <c r="B33" i="26" l="1"/>
  <c r="B6" i="22"/>
  <c r="M195" i="28" l="1"/>
  <c r="M193" i="28"/>
  <c r="V4" i="1"/>
  <c r="G3" i="51" s="1"/>
  <c r="D27" i="26" s="1"/>
  <c r="M194" i="28" l="1"/>
  <c r="AQ5" i="22"/>
  <c r="AQ6" i="22"/>
  <c r="AQ7" i="22"/>
  <c r="AQ8" i="22"/>
  <c r="AQ9" i="22"/>
  <c r="AQ10" i="22"/>
  <c r="AQ11" i="22"/>
  <c r="AQ12" i="22"/>
  <c r="AQ13" i="22"/>
  <c r="D103" i="28" l="1"/>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H103" i="28" l="1"/>
  <c r="M103" i="28"/>
  <c r="G103" i="28" l="1"/>
  <c r="C6" i="1" l="1"/>
  <c r="Q6" i="1" s="1"/>
  <c r="J6" i="1" l="1"/>
  <c r="T6" i="1" s="1"/>
  <c r="K6" i="1"/>
  <c r="N3" i="58"/>
  <c r="R6" i="1"/>
  <c r="F6" i="1"/>
  <c r="E3" i="28" s="1"/>
  <c r="S6" i="1" l="1"/>
  <c r="U6" i="1" s="1"/>
  <c r="W6" i="1"/>
  <c r="M3" i="28"/>
  <c r="L35" i="28"/>
  <c r="L51" i="28"/>
  <c r="L13" i="28"/>
  <c r="L34" i="28"/>
  <c r="L48" i="28"/>
  <c r="L23" i="28"/>
  <c r="L38" i="28"/>
  <c r="L26" i="28"/>
  <c r="L27" i="28"/>
  <c r="L52" i="28"/>
  <c r="L43" i="28"/>
  <c r="L21" i="28"/>
  <c r="L6" i="28"/>
  <c r="L49" i="28"/>
  <c r="L16" i="28"/>
  <c r="L32" i="28"/>
  <c r="L30" i="28"/>
  <c r="L45" i="28"/>
  <c r="L36" i="28"/>
  <c r="L44" i="28"/>
  <c r="L47" i="28"/>
  <c r="L4" i="28"/>
  <c r="L9" i="28"/>
  <c r="L50" i="28"/>
  <c r="L14" i="28"/>
  <c r="L33" i="28"/>
  <c r="L41" i="28"/>
  <c r="L24" i="28"/>
  <c r="L25" i="28"/>
  <c r="L40" i="28"/>
  <c r="L10" i="28"/>
  <c r="L29" i="28"/>
  <c r="L20" i="28"/>
  <c r="L39" i="28"/>
  <c r="L37" i="28"/>
  <c r="L12" i="28"/>
  <c r="L5" i="28"/>
  <c r="L42" i="28"/>
  <c r="L22" i="28"/>
  <c r="L15" i="28"/>
  <c r="L7" i="28"/>
  <c r="L8" i="28"/>
  <c r="L17" i="28"/>
  <c r="L46" i="28"/>
  <c r="L18" i="28"/>
  <c r="L19" i="28"/>
  <c r="L11" i="28"/>
  <c r="L28" i="28"/>
  <c r="L31" i="28"/>
  <c r="X6" i="1" l="1"/>
  <c r="D28" i="26" l="1"/>
  <c r="B19" i="33" s="1"/>
  <c r="G5" i="51"/>
  <c r="B103" i="28"/>
  <c r="B53" i="28"/>
  <c r="B3" i="28"/>
  <c r="D30" i="26" l="1"/>
  <c r="C12" i="26" l="1"/>
  <c r="D3" i="28"/>
  <c r="L3" i="28" s="1"/>
  <c r="J3" i="28" l="1"/>
  <c r="B26" i="33" s="1"/>
  <c r="F3" i="28"/>
  <c r="H3" i="28"/>
  <c r="G3" i="28"/>
  <c r="D19" i="33" l="1"/>
  <c r="C10" i="52" l="1"/>
  <c r="F39" i="1" l="1"/>
  <c r="E36" i="28" s="1"/>
  <c r="H5" i="28"/>
  <c r="H146" i="28" l="1"/>
  <c r="G137" i="28"/>
  <c r="U45" i="1"/>
  <c r="F52" i="1"/>
  <c r="E49" i="28" s="1"/>
  <c r="H106" i="28"/>
  <c r="F46" i="1"/>
  <c r="E43" i="28" s="1"/>
  <c r="H6" i="28"/>
  <c r="H7" i="28"/>
  <c r="H149" i="28"/>
  <c r="H158" i="28"/>
  <c r="H147" i="28"/>
  <c r="H134" i="28"/>
  <c r="H156" i="28"/>
  <c r="H155" i="28"/>
  <c r="H161" i="28"/>
  <c r="H139" i="28"/>
  <c r="H148" i="28"/>
  <c r="H136" i="28"/>
  <c r="H153" i="28"/>
  <c r="H142" i="28"/>
  <c r="H154" i="28"/>
  <c r="H141" i="28"/>
  <c r="H140" i="28"/>
  <c r="H145" i="28"/>
  <c r="H144" i="28"/>
  <c r="H162" i="28"/>
  <c r="H152" i="28"/>
  <c r="H138" i="28"/>
  <c r="H137" i="28"/>
  <c r="H135" i="28"/>
  <c r="H151" i="28"/>
  <c r="H143" i="28"/>
  <c r="H157" i="28"/>
  <c r="H150" i="28"/>
  <c r="H160" i="28"/>
  <c r="H159" i="28"/>
  <c r="H183" i="28"/>
  <c r="U29" i="1"/>
  <c r="U30" i="1"/>
  <c r="U24" i="1"/>
  <c r="U48" i="1"/>
  <c r="F30" i="1"/>
  <c r="E27" i="28" s="1"/>
  <c r="U13" i="1"/>
  <c r="U34" i="1"/>
  <c r="U49" i="1"/>
  <c r="F20" i="1"/>
  <c r="E17" i="28" s="1"/>
  <c r="U42" i="1"/>
  <c r="H109" i="28"/>
  <c r="H113" i="28"/>
  <c r="F26" i="1"/>
  <c r="E23" i="28" s="1"/>
  <c r="U41" i="1"/>
  <c r="F53" i="1"/>
  <c r="E50" i="28" s="1"/>
  <c r="F13" i="1"/>
  <c r="E10" i="28" s="1"/>
  <c r="F36" i="1"/>
  <c r="E33" i="28" s="1"/>
  <c r="F17" i="1"/>
  <c r="E14" i="28" s="1"/>
  <c r="H117" i="28"/>
  <c r="F15" i="1"/>
  <c r="E12" i="28" s="1"/>
  <c r="H178" i="28"/>
  <c r="H118" i="28"/>
  <c r="U27" i="1"/>
  <c r="F21" i="1"/>
  <c r="E18" i="28" s="1"/>
  <c r="U23" i="1"/>
  <c r="U51" i="1"/>
  <c r="F43" i="1"/>
  <c r="E40" i="28" s="1"/>
  <c r="H122" i="28"/>
  <c r="H130" i="28"/>
  <c r="H124" i="28"/>
  <c r="H181" i="28"/>
  <c r="H171" i="28"/>
  <c r="U26" i="1"/>
  <c r="F55" i="1"/>
  <c r="E52" i="28" s="1"/>
  <c r="H132" i="28"/>
  <c r="H131" i="28"/>
  <c r="U22" i="1"/>
  <c r="U37" i="1"/>
  <c r="F18" i="1"/>
  <c r="E15" i="28" s="1"/>
  <c r="F50" i="1"/>
  <c r="E47" i="28" s="1"/>
  <c r="F32" i="1"/>
  <c r="E29" i="28" s="1"/>
  <c r="U44" i="1"/>
  <c r="H165" i="28"/>
  <c r="F34" i="1"/>
  <c r="E31" i="28" s="1"/>
  <c r="H120" i="28"/>
  <c r="H111" i="28"/>
  <c r="U50" i="1"/>
  <c r="F41" i="1"/>
  <c r="E38" i="28" s="1"/>
  <c r="U16" i="1"/>
  <c r="H167" i="28"/>
  <c r="U31" i="1"/>
  <c r="F8" i="1"/>
  <c r="E5" i="28" s="1"/>
  <c r="H166" i="28"/>
  <c r="H176" i="28"/>
  <c r="H121" i="28"/>
  <c r="H112" i="28"/>
  <c r="H186" i="28"/>
  <c r="U36" i="1"/>
  <c r="H170" i="28"/>
  <c r="H119" i="28"/>
  <c r="F10" i="1"/>
  <c r="E7" i="28" s="1"/>
  <c r="U21" i="1"/>
  <c r="F7" i="1"/>
  <c r="E4" i="28" s="1"/>
  <c r="H177" i="28"/>
  <c r="F16" i="1"/>
  <c r="E13" i="28" s="1"/>
  <c r="H172" i="28"/>
  <c r="U52" i="1"/>
  <c r="F23" i="1"/>
  <c r="E20" i="28" s="1"/>
  <c r="F54" i="1"/>
  <c r="E51" i="28" s="1"/>
  <c r="U53" i="1"/>
  <c r="H126" i="28"/>
  <c r="F22" i="1"/>
  <c r="E19" i="28" s="1"/>
  <c r="F40" i="1"/>
  <c r="E37" i="28" s="1"/>
  <c r="U55" i="1"/>
  <c r="F31" i="1"/>
  <c r="E28" i="28" s="1"/>
  <c r="U32" i="1"/>
  <c r="H174" i="28"/>
  <c r="H164" i="28"/>
  <c r="F47" i="1"/>
  <c r="E44" i="28" s="1"/>
  <c r="H190" i="28"/>
  <c r="F51" i="1"/>
  <c r="E48" i="28" s="1"/>
  <c r="U43" i="1"/>
  <c r="U28" i="1"/>
  <c r="H115" i="28"/>
  <c r="F9" i="1"/>
  <c r="E6" i="28" s="1"/>
  <c r="U54" i="1"/>
  <c r="F27" i="1"/>
  <c r="E24" i="28" s="1"/>
  <c r="U39" i="1"/>
  <c r="H173" i="28"/>
  <c r="U46" i="1"/>
  <c r="F19" i="1"/>
  <c r="E16" i="28" s="1"/>
  <c r="U40" i="1"/>
  <c r="H127" i="28"/>
  <c r="F25" i="1"/>
  <c r="E22" i="28" s="1"/>
  <c r="F14" i="1"/>
  <c r="E11" i="28" s="1"/>
  <c r="F29" i="1"/>
  <c r="E26" i="28" s="1"/>
  <c r="F37" i="1"/>
  <c r="E34" i="28" s="1"/>
  <c r="H169" i="28"/>
  <c r="H184" i="28"/>
  <c r="H128" i="28"/>
  <c r="U17" i="1"/>
  <c r="H129" i="28"/>
  <c r="F38" i="1"/>
  <c r="E35" i="28" s="1"/>
  <c r="F12" i="1"/>
  <c r="E9" i="28" s="1"/>
  <c r="H107" i="28"/>
  <c r="H182" i="28"/>
  <c r="F48" i="1"/>
  <c r="E45" i="28" s="1"/>
  <c r="F44" i="1"/>
  <c r="E41" i="28" s="1"/>
  <c r="U33" i="1"/>
  <c r="H108" i="28"/>
  <c r="H179" i="28"/>
  <c r="H168" i="28"/>
  <c r="U47" i="1"/>
  <c r="F11" i="1"/>
  <c r="E8" i="28" s="1"/>
  <c r="H116" i="28"/>
  <c r="U35" i="1"/>
  <c r="H185" i="28"/>
  <c r="H114" i="28"/>
  <c r="H189" i="28"/>
  <c r="H175" i="28"/>
  <c r="H105" i="28"/>
  <c r="H191" i="28"/>
  <c r="U14" i="1"/>
  <c r="H192" i="28"/>
  <c r="H125" i="28"/>
  <c r="F33" i="1"/>
  <c r="E30" i="28" s="1"/>
  <c r="U38" i="1"/>
  <c r="H188" i="28"/>
  <c r="H180" i="28"/>
  <c r="U20" i="1"/>
  <c r="F49" i="1"/>
  <c r="E46" i="28" s="1"/>
  <c r="F24" i="1"/>
  <c r="E21" i="28" s="1"/>
  <c r="H110" i="28"/>
  <c r="F42" i="1"/>
  <c r="E39" i="28" s="1"/>
  <c r="H123" i="28"/>
  <c r="F28" i="1"/>
  <c r="E25" i="28" s="1"/>
  <c r="U12" i="1"/>
  <c r="U25" i="1"/>
  <c r="F35" i="1"/>
  <c r="E32" i="28" s="1"/>
  <c r="H4" i="28"/>
  <c r="F45" i="1"/>
  <c r="E42" i="28" s="1"/>
  <c r="H187" i="28"/>
  <c r="G4" i="28"/>
  <c r="U15" i="1"/>
  <c r="U18" i="1"/>
  <c r="H8" i="28"/>
  <c r="U19" i="1"/>
  <c r="U11" i="1" l="1"/>
  <c r="G8" i="28"/>
  <c r="U10" i="1"/>
  <c r="G7" i="28"/>
  <c r="U9" i="1"/>
  <c r="G6" i="28"/>
  <c r="U8" i="1"/>
  <c r="G5" i="28"/>
  <c r="T4" i="1"/>
  <c r="M111" i="28"/>
  <c r="G178" i="28"/>
  <c r="G173" i="28"/>
  <c r="M137" i="28"/>
  <c r="M186" i="28"/>
  <c r="M155" i="28"/>
  <c r="C22" i="26"/>
  <c r="M153" i="28"/>
  <c r="M172" i="28"/>
  <c r="W12" i="1"/>
  <c r="X12" i="1" s="1"/>
  <c r="M9" i="28"/>
  <c r="W46" i="1"/>
  <c r="X46" i="1" s="1"/>
  <c r="M43" i="28"/>
  <c r="M184" i="28"/>
  <c r="M167" i="28"/>
  <c r="M154" i="28"/>
  <c r="M113" i="28"/>
  <c r="G117" i="28"/>
  <c r="M132" i="28"/>
  <c r="W14" i="1"/>
  <c r="X14" i="1" s="1"/>
  <c r="M11" i="28"/>
  <c r="M39" i="28"/>
  <c r="W42" i="1"/>
  <c r="X42" i="1" s="1"/>
  <c r="M110" i="28"/>
  <c r="G166" i="28"/>
  <c r="M118" i="28"/>
  <c r="G115" i="28"/>
  <c r="M34" i="28"/>
  <c r="W37" i="1"/>
  <c r="X37" i="1" s="1"/>
  <c r="M45" i="28"/>
  <c r="W48" i="1"/>
  <c r="X48" i="1" s="1"/>
  <c r="M47" i="28"/>
  <c r="W50" i="1"/>
  <c r="X50" i="1" s="1"/>
  <c r="G129" i="28"/>
  <c r="W43" i="1"/>
  <c r="X43" i="1" s="1"/>
  <c r="M40" i="28"/>
  <c r="G156" i="28"/>
  <c r="G142" i="28"/>
  <c r="G150" i="28"/>
  <c r="G144" i="28"/>
  <c r="G184" i="28"/>
  <c r="M115" i="28"/>
  <c r="M117" i="28"/>
  <c r="M122" i="28"/>
  <c r="M188" i="28"/>
  <c r="W10" i="1"/>
  <c r="M7" i="28"/>
  <c r="M131" i="28"/>
  <c r="M143" i="28"/>
  <c r="M10" i="28"/>
  <c r="W13" i="1"/>
  <c r="X13" i="1" s="1"/>
  <c r="M152" i="28"/>
  <c r="W19" i="1"/>
  <c r="X19" i="1" s="1"/>
  <c r="M16" i="28"/>
  <c r="G105" i="28"/>
  <c r="M151" i="28"/>
  <c r="M191" i="28"/>
  <c r="W32" i="1"/>
  <c r="X32" i="1" s="1"/>
  <c r="M29" i="28"/>
  <c r="G163" i="28"/>
  <c r="G119" i="28"/>
  <c r="G183" i="28"/>
  <c r="M141" i="28"/>
  <c r="M123" i="28"/>
  <c r="G189" i="28"/>
  <c r="M170" i="28"/>
  <c r="G176" i="28"/>
  <c r="G114" i="28"/>
  <c r="G125" i="28"/>
  <c r="M15" i="28"/>
  <c r="W18" i="1"/>
  <c r="X18" i="1" s="1"/>
  <c r="W35" i="1"/>
  <c r="X35" i="1" s="1"/>
  <c r="M32" i="28"/>
  <c r="G140" i="28"/>
  <c r="G151" i="28"/>
  <c r="M21" i="28"/>
  <c r="W24" i="1"/>
  <c r="X24" i="1" s="1"/>
  <c r="M149" i="28"/>
  <c r="G111" i="28"/>
  <c r="W11" i="1"/>
  <c r="M8" i="28"/>
  <c r="G107" i="28"/>
  <c r="G175" i="28"/>
  <c r="G127" i="28"/>
  <c r="M176" i="28"/>
  <c r="M36" i="28"/>
  <c r="W39" i="1"/>
  <c r="X39" i="1" s="1"/>
  <c r="M49" i="28"/>
  <c r="W52" i="1"/>
  <c r="X52" i="1" s="1"/>
  <c r="G185" i="28"/>
  <c r="W38" i="1"/>
  <c r="X38" i="1" s="1"/>
  <c r="M35" i="28"/>
  <c r="M163" i="28"/>
  <c r="M17" i="28"/>
  <c r="W20" i="1"/>
  <c r="X20" i="1" s="1"/>
  <c r="M127" i="28"/>
  <c r="M177" i="28"/>
  <c r="I4" i="51"/>
  <c r="W17" i="1"/>
  <c r="X17" i="1" s="1"/>
  <c r="M14" i="28"/>
  <c r="M150" i="28"/>
  <c r="G179" i="28"/>
  <c r="M185" i="28"/>
  <c r="M124" i="28"/>
  <c r="G118" i="28"/>
  <c r="M120" i="28"/>
  <c r="W53" i="1"/>
  <c r="X53" i="1" s="1"/>
  <c r="M50" i="28"/>
  <c r="G110" i="28"/>
  <c r="G134" i="28"/>
  <c r="G160" i="28"/>
  <c r="G141" i="28"/>
  <c r="G158" i="28"/>
  <c r="G148" i="28"/>
  <c r="M174" i="28"/>
  <c r="M180" i="28"/>
  <c r="M130" i="28"/>
  <c r="M189" i="28"/>
  <c r="W7" i="1"/>
  <c r="M4" i="28"/>
  <c r="R4" i="1"/>
  <c r="C3" i="51" s="1"/>
  <c r="C5" i="51" s="1"/>
  <c r="W34" i="1"/>
  <c r="X34" i="1" s="1"/>
  <c r="M31" i="28"/>
  <c r="M121" i="28"/>
  <c r="M128" i="28"/>
  <c r="M106" i="28"/>
  <c r="M166" i="28"/>
  <c r="M104" i="28"/>
  <c r="M181" i="28"/>
  <c r="M158" i="28"/>
  <c r="G171" i="28"/>
  <c r="M19" i="28"/>
  <c r="W22" i="1"/>
  <c r="X22" i="1" s="1"/>
  <c r="G120" i="28"/>
  <c r="M33" i="28"/>
  <c r="W36" i="1"/>
  <c r="X36" i="1" s="1"/>
  <c r="W44" i="1"/>
  <c r="X44" i="1" s="1"/>
  <c r="M41" i="28"/>
  <c r="M12" i="28"/>
  <c r="W15" i="1"/>
  <c r="X15" i="1" s="1"/>
  <c r="M173" i="28"/>
  <c r="G104" i="28"/>
  <c r="M159" i="28"/>
  <c r="M156" i="28"/>
  <c r="M142" i="28"/>
  <c r="G188" i="28"/>
  <c r="G123" i="28"/>
  <c r="M165" i="28"/>
  <c r="G187" i="28"/>
  <c r="D22" i="26"/>
  <c r="G112" i="28"/>
  <c r="G108" i="28"/>
  <c r="G159" i="28"/>
  <c r="G152" i="28"/>
  <c r="H133" i="28"/>
  <c r="G146" i="28"/>
  <c r="G138" i="28"/>
  <c r="G170" i="28"/>
  <c r="M133" i="28"/>
  <c r="M25" i="28"/>
  <c r="W28" i="1"/>
  <c r="X28" i="1" s="1"/>
  <c r="G130" i="28"/>
  <c r="M171" i="28"/>
  <c r="M187" i="28"/>
  <c r="M162" i="28"/>
  <c r="M13" i="28"/>
  <c r="W16" i="1"/>
  <c r="X16" i="1" s="1"/>
  <c r="G169" i="28"/>
  <c r="M114" i="28"/>
  <c r="M105" i="28"/>
  <c r="G109" i="28"/>
  <c r="M23" i="28"/>
  <c r="W26" i="1"/>
  <c r="X26" i="1" s="1"/>
  <c r="M52" i="28"/>
  <c r="W55" i="1"/>
  <c r="X55" i="1" s="1"/>
  <c r="W54" i="1"/>
  <c r="X54" i="1" s="1"/>
  <c r="M51" i="28"/>
  <c r="M192" i="28"/>
  <c r="G180" i="28"/>
  <c r="G131" i="28"/>
  <c r="G136" i="28"/>
  <c r="G133" i="28"/>
  <c r="G168" i="28"/>
  <c r="M28" i="28"/>
  <c r="W31" i="1"/>
  <c r="X31" i="1" s="1"/>
  <c r="G128" i="28"/>
  <c r="M168" i="28"/>
  <c r="M161" i="28"/>
  <c r="M145" i="28"/>
  <c r="G165" i="28"/>
  <c r="M119" i="28"/>
  <c r="M134" i="28"/>
  <c r="G190" i="28"/>
  <c r="G192" i="28"/>
  <c r="G126" i="28"/>
  <c r="M126" i="28"/>
  <c r="M30" i="28"/>
  <c r="W33" i="1"/>
  <c r="X33" i="1" s="1"/>
  <c r="M144" i="28"/>
  <c r="M178" i="28"/>
  <c r="M107" i="28"/>
  <c r="G186" i="28"/>
  <c r="M38" i="28"/>
  <c r="W41" i="1"/>
  <c r="X41" i="1" s="1"/>
  <c r="G124" i="28"/>
  <c r="M190" i="28"/>
  <c r="G182" i="28"/>
  <c r="G145" i="28"/>
  <c r="G161" i="28"/>
  <c r="G139" i="28"/>
  <c r="G157" i="28"/>
  <c r="G153" i="28"/>
  <c r="G162" i="28"/>
  <c r="M175" i="28"/>
  <c r="W47" i="1"/>
  <c r="X47" i="1" s="1"/>
  <c r="M44" i="28"/>
  <c r="W25" i="1"/>
  <c r="X25" i="1" s="1"/>
  <c r="M22" i="28"/>
  <c r="M24" i="28"/>
  <c r="W27" i="1"/>
  <c r="X27" i="1" s="1"/>
  <c r="M146" i="28"/>
  <c r="S4" i="1"/>
  <c r="D3" i="51" s="1"/>
  <c r="U7" i="1"/>
  <c r="G116" i="28"/>
  <c r="M147" i="28"/>
  <c r="M46" i="28"/>
  <c r="W49" i="1"/>
  <c r="X49" i="1" s="1"/>
  <c r="G167" i="28"/>
  <c r="G113" i="28"/>
  <c r="G174" i="28"/>
  <c r="W9" i="1"/>
  <c r="M6" i="28"/>
  <c r="G181" i="28"/>
  <c r="M183" i="28"/>
  <c r="G121" i="28"/>
  <c r="M37" i="28"/>
  <c r="W40" i="1"/>
  <c r="X40" i="1" s="1"/>
  <c r="W30" i="1"/>
  <c r="X30" i="1" s="1"/>
  <c r="M27" i="28"/>
  <c r="M157" i="28"/>
  <c r="M169" i="28"/>
  <c r="W45" i="1"/>
  <c r="X45" i="1" s="1"/>
  <c r="M42" i="28"/>
  <c r="G172" i="28"/>
  <c r="G164" i="28"/>
  <c r="M5" i="28"/>
  <c r="W8" i="1"/>
  <c r="G147" i="28"/>
  <c r="G143" i="28"/>
  <c r="G135" i="28"/>
  <c r="M112" i="28"/>
  <c r="M140" i="28"/>
  <c r="M138" i="28"/>
  <c r="M148" i="28"/>
  <c r="M109" i="28"/>
  <c r="W21" i="1"/>
  <c r="X21" i="1" s="1"/>
  <c r="M18" i="28"/>
  <c r="G122" i="28"/>
  <c r="M136" i="28"/>
  <c r="M179" i="28"/>
  <c r="W29" i="1"/>
  <c r="X29" i="1" s="1"/>
  <c r="M26" i="28"/>
  <c r="M48" i="28"/>
  <c r="W51" i="1"/>
  <c r="X51" i="1" s="1"/>
  <c r="M20" i="28"/>
  <c r="W23" i="1"/>
  <c r="X23" i="1" s="1"/>
  <c r="G191" i="28"/>
  <c r="H163" i="28"/>
  <c r="M116" i="28"/>
  <c r="M108" i="28"/>
  <c r="M125" i="28"/>
  <c r="M129" i="28"/>
  <c r="H104" i="28"/>
  <c r="M164" i="28"/>
  <c r="G177" i="28"/>
  <c r="G132" i="28"/>
  <c r="M135" i="28"/>
  <c r="G106" i="28"/>
  <c r="M182" i="28"/>
  <c r="G149" i="28"/>
  <c r="G155" i="28"/>
  <c r="G154" i="28"/>
  <c r="M160" i="28"/>
  <c r="M139" i="28"/>
  <c r="X10" i="1" l="1"/>
  <c r="I3" i="51"/>
  <c r="X9" i="1"/>
  <c r="X11" i="1"/>
  <c r="X8" i="1"/>
  <c r="E3" i="51"/>
  <c r="D21" i="26" s="1"/>
  <c r="D23" i="26" s="1"/>
  <c r="U4" i="1"/>
  <c r="F3" i="51" s="1"/>
  <c r="C27" i="26" s="1"/>
  <c r="C21" i="26"/>
  <c r="C23" i="26" s="1"/>
  <c r="B24" i="33" s="1"/>
  <c r="D5" i="51"/>
  <c r="X7" i="1"/>
  <c r="W4" i="1"/>
  <c r="F12" i="26" l="1"/>
  <c r="F10" i="52" s="1"/>
  <c r="J3" i="51"/>
  <c r="E27" i="26" s="1"/>
  <c r="I53" i="28"/>
  <c r="X4" i="1"/>
  <c r="B3" i="33"/>
  <c r="I135" i="28"/>
  <c r="I5" i="51"/>
  <c r="E5" i="51"/>
  <c r="C28" i="26"/>
  <c r="C30"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I184" i="28"/>
  <c r="I125" i="28"/>
  <c r="I121" i="28"/>
  <c r="I187" i="28"/>
  <c r="I17" i="28"/>
  <c r="I117" i="28"/>
  <c r="I106" i="28"/>
  <c r="I179" i="28"/>
  <c r="I6" i="28"/>
  <c r="I178" i="28"/>
  <c r="I142" i="28"/>
  <c r="I19" i="28"/>
  <c r="I158" i="28"/>
  <c r="I15" i="28"/>
  <c r="I13" i="28"/>
  <c r="I164" i="28"/>
  <c r="I11" i="28"/>
  <c r="I183" i="28"/>
  <c r="I131" i="28"/>
  <c r="I189" i="28"/>
  <c r="I126" i="28"/>
  <c r="I175" i="28"/>
  <c r="I149" i="28"/>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8" i="26" s="1"/>
  <c r="F28" i="26" s="1"/>
  <c r="I204" i="28"/>
  <c r="I103" i="28"/>
  <c r="I203" i="28"/>
  <c r="I210" i="28"/>
  <c r="I211" i="28"/>
  <c r="I200" i="28"/>
  <c r="I212" i="28"/>
  <c r="I202" i="28"/>
  <c r="I3" i="28"/>
  <c r="I201" i="28"/>
  <c r="I205" i="28"/>
  <c r="I208" i="28"/>
  <c r="I195" i="28"/>
  <c r="I193" i="28"/>
  <c r="I194"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E30" i="26" l="1"/>
  <c r="D12" i="26" s="1"/>
  <c r="B18" i="33"/>
  <c r="F27" i="26"/>
  <c r="H5" i="51"/>
  <c r="F5" i="51"/>
  <c r="G28" i="26"/>
  <c r="J5" i="51"/>
  <c r="B21" i="33" l="1"/>
  <c r="B20" i="33"/>
  <c r="D18" i="33"/>
  <c r="D21" i="33" l="1"/>
  <c r="D20" i="33"/>
  <c r="G27" i="26"/>
  <c r="F30" i="26" l="1"/>
  <c r="G30" i="26" l="1"/>
  <c r="E12" i="26"/>
  <c r="E10" i="52" s="1"/>
  <c r="D10" i="52"/>
  <c r="B2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9"/>
            <color indexed="81"/>
            <rFont val="Tahoma"/>
            <family val="2"/>
          </rPr>
          <t>Publically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R5"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5"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4532A9F3-7C27-45B0-AD91-F97AE48AA6FE}">
      <text>
        <r>
          <rPr>
            <sz val="9"/>
            <color indexed="81"/>
            <rFont val="Tahoma"/>
            <family val="2"/>
          </rPr>
          <t>Add any additional or relevant notes or information for the project here that isn't captured in the previous "customer inputs" for each line item.</t>
        </r>
      </text>
    </comment>
    <comment ref="J5" authorId="0" shapeId="0" xr:uid="{BDB9200C-A7C2-439F-BD15-DDB0F3F3FB2A}">
      <text>
        <r>
          <rPr>
            <b/>
            <sz val="9"/>
            <color indexed="81"/>
            <rFont val="Tahoma"/>
            <family val="2"/>
          </rPr>
          <t>Use the manufacturer full load kW/ton efficiency for the specific make and model. If that is not available, use the baseline efficiency values designated in the IECC 2009 energy code or the Arkansas Technical Reference Manual (TRM) v7.0</t>
        </r>
        <r>
          <rPr>
            <sz val="9"/>
            <color indexed="81"/>
            <rFont val="Tahoma"/>
            <family val="2"/>
          </rPr>
          <t xml:space="preserve">
</t>
        </r>
      </text>
    </comment>
    <comment ref="K5" authorId="0" shapeId="0" xr:uid="{18B0F64B-B0E7-41E3-A877-6817F718B3DB}">
      <text>
        <r>
          <rPr>
            <b/>
            <sz val="9"/>
            <color indexed="81"/>
            <rFont val="Tahoma"/>
            <family val="2"/>
          </rPr>
          <t>Use the manufacturer part load kW/ton efficiency (IPLV) for the specific make and model. If that is not available, use the baseline efficiency values designated in the IECC 2009 energy code or the Arkansas Technical Reference Manual (TRM) v7.0</t>
        </r>
      </text>
    </comment>
    <comment ref="N5" authorId="0" shapeId="0" xr:uid="{132AF9B0-6A78-4E93-BA6C-26BE6D4015C1}">
      <text>
        <r>
          <rPr>
            <sz val="9"/>
            <color indexed="81"/>
            <rFont val="Tahoma"/>
            <family val="2"/>
          </rPr>
          <t>The estimated incentive shown below does not incorporate project level incentive caps, which may reduce the total incentive paid to a project.</t>
        </r>
      </text>
    </comment>
    <comment ref="S5" authorId="0" shapeId="0" xr:uid="{546EDC90-E30E-4FA7-9E2B-C8CD8DB05D02}">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6"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tc={8EF07D4B-37BF-4245-9CA3-94EB6DE9529C}</author>
    <author>tc={62C74FEC-860C-4FD5-BBC1-61E30FA1D7C5}</author>
    <author>tc={13CE2E3C-D381-46CB-B794-332D929AC969}</author>
  </authors>
  <commentList>
    <comment ref="P120" authorId="0"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P125" authorId="1"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Q125" authorId="2"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sharedStrings.xml><?xml version="1.0" encoding="utf-8"?>
<sst xmlns="http://schemas.openxmlformats.org/spreadsheetml/2006/main" count="1053" uniqueCount="503">
  <si>
    <t>Contains a project-level summary of all measures entered into the workbook. No data entry is required on this tab.</t>
  </si>
  <si>
    <t>City</t>
  </si>
  <si>
    <t>State</t>
  </si>
  <si>
    <t>Large Commercial &amp; Industrial Solutions (project site demand &gt;100 kW)</t>
  </si>
  <si>
    <t>Pre-Retrofit</t>
  </si>
  <si>
    <t>Is this a publically funded organization?</t>
  </si>
  <si>
    <t>Business Name</t>
  </si>
  <si>
    <t>Address</t>
  </si>
  <si>
    <t>ZIP</t>
  </si>
  <si>
    <t>No</t>
  </si>
  <si>
    <t>Does the customer own or rent/lease the job site location?</t>
  </si>
  <si>
    <t>Own</t>
  </si>
  <si>
    <t>Building Type</t>
  </si>
  <si>
    <t>Education: K-12</t>
  </si>
  <si>
    <t>A/C with gas heat</t>
  </si>
  <si>
    <t>Electric</t>
  </si>
  <si>
    <t>Project Role</t>
  </si>
  <si>
    <t>Make Check Payable To</t>
  </si>
  <si>
    <t>Federal Tax ID Number</t>
  </si>
  <si>
    <t>Customer</t>
  </si>
  <si>
    <t>Tax Entity</t>
  </si>
  <si>
    <t>Search Engine</t>
  </si>
  <si>
    <t>Proposed</t>
  </si>
  <si>
    <t>Totals</t>
  </si>
  <si>
    <t>Measure Number</t>
  </si>
  <si>
    <t>Unit of Measure</t>
  </si>
  <si>
    <t>Measure Type</t>
  </si>
  <si>
    <t>Project Summary</t>
  </si>
  <si>
    <t>Additional Contact</t>
  </si>
  <si>
    <t>Total</t>
  </si>
  <si>
    <t>Date</t>
  </si>
  <si>
    <t>All project information shown below reflects inputs in the Project Tab of the project application, to update any information shown below, please update the information in the Project Tab of the application.</t>
  </si>
  <si>
    <t>Attention To</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</si>
  <si>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</si>
  <si>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Named Values &amp; Inputs</t>
  </si>
  <si>
    <t>Table_Prescript_Meas</t>
  </si>
  <si>
    <t>Table_Programs_Rates</t>
  </si>
  <si>
    <t>Value_Project_CAP</t>
  </si>
  <si>
    <t>Sort Order</t>
  </si>
  <si>
    <t>Type</t>
  </si>
  <si>
    <t>Measure Description</t>
  </si>
  <si>
    <t>Units</t>
  </si>
  <si>
    <t>Deemed kWh Savings</t>
  </si>
  <si>
    <t>Deemed kW Savings</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</si>
  <si>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</si>
  <si>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</si>
  <si>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</si>
  <si>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</si>
  <si>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</si>
  <si>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</si>
  <si>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</si>
  <si>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</si>
  <si>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</si>
  <si>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</si>
  <si>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</si>
  <si>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</si>
  <si>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</si>
  <si>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</si>
  <si>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</si>
  <si>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</si>
  <si>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Value_Measure_CAP</t>
  </si>
  <si>
    <t>HVAC</t>
  </si>
  <si>
    <t>Small Commercial Solutions (project site demand &lt; 100kW)</t>
  </si>
  <si>
    <t xml:space="preserve">Corporation </t>
  </si>
  <si>
    <t>Individual/Sole Proprietor</t>
  </si>
  <si>
    <t>Yes</t>
  </si>
  <si>
    <t>Contractor Install</t>
  </si>
  <si>
    <t>Rent/Lease</t>
  </si>
  <si>
    <t>Leisure Dining: Bar Area</t>
  </si>
  <si>
    <t>Bill Insert</t>
  </si>
  <si>
    <t>Value_FastTrack_Limit</t>
  </si>
  <si>
    <t>LLC, C,S,P</t>
  </si>
  <si>
    <t>LLC</t>
  </si>
  <si>
    <t>Unknown</t>
  </si>
  <si>
    <t>Post-Retrofit</t>
  </si>
  <si>
    <t>Self Install</t>
  </si>
  <si>
    <t>Corridor/Hallway/Stairwell</t>
  </si>
  <si>
    <t>A/C with electric resistance heat</t>
  </si>
  <si>
    <t>Natural Gas</t>
  </si>
  <si>
    <t>Trade Ally/Contractor</t>
  </si>
  <si>
    <t>Calling Campaign</t>
  </si>
  <si>
    <t>Value_Cus_IncentRate</t>
  </si>
  <si>
    <t>Individual/Sole Proprietorship</t>
  </si>
  <si>
    <t>Corporation</t>
  </si>
  <si>
    <t>Yes-DOT Disadvantaged Business Enterprise</t>
  </si>
  <si>
    <t>Direct Install</t>
  </si>
  <si>
    <t>Education: College/University</t>
  </si>
  <si>
    <t>A/C with heat pump heat</t>
  </si>
  <si>
    <t>Oil</t>
  </si>
  <si>
    <t>Direct Mail</t>
  </si>
  <si>
    <t>Value_Max_ItoC_Ratio</t>
  </si>
  <si>
    <t>Partnership</t>
  </si>
  <si>
    <t>Yes-Disabled Veteran-Owned Business Enterprise (DVET)</t>
  </si>
  <si>
    <t>Other</t>
  </si>
  <si>
    <t>A/C with no heat</t>
  </si>
  <si>
    <t>Propane</t>
  </si>
  <si>
    <t>Job Site</t>
  </si>
  <si>
    <t>Energy Advisor</t>
  </si>
  <si>
    <t>Value_Application_Version</t>
  </si>
  <si>
    <t>Trust/Estate</t>
  </si>
  <si>
    <t>Trust/estate</t>
  </si>
  <si>
    <t>Yes-Veteran-Owned Business Enterprise (VBE)</t>
  </si>
  <si>
    <t>Exterior/Outdoors/Parking Lot</t>
  </si>
  <si>
    <t>Refrigerated space (33-41°F)</t>
  </si>
  <si>
    <t>Steam</t>
  </si>
  <si>
    <t>Event/Trade Show</t>
  </si>
  <si>
    <t>Value_Bonus_Rate</t>
  </si>
  <si>
    <t>Non-Profit</t>
  </si>
  <si>
    <t>Exempt</t>
  </si>
  <si>
    <t>Yes-Woman-Owned Business Enterprise (WBE)</t>
  </si>
  <si>
    <t>Food Sales: 24-Hour Supermarket</t>
  </si>
  <si>
    <t>Freezer space (-10-10°F)</t>
  </si>
  <si>
    <t>Yes-SBA 8(a) program</t>
  </si>
  <si>
    <t>Food Sales: Non 24-Hour Supermarket</t>
  </si>
  <si>
    <t>N/A (Unconditioned)</t>
  </si>
  <si>
    <t>Not Applicable</t>
  </si>
  <si>
    <t>SMS Text</t>
  </si>
  <si>
    <t>Yes-SMA Small Disadvantaged Business Enterprise (SDB)</t>
  </si>
  <si>
    <t>Food Service: Fast Food</t>
  </si>
  <si>
    <t>Social Media</t>
  </si>
  <si>
    <t>Yes-SBA HubZone Business Enterprise (HubZone)</t>
  </si>
  <si>
    <t>Food Service: Sit-Down Restaurant</t>
  </si>
  <si>
    <t>Utility Website</t>
  </si>
  <si>
    <t>Yes-LGBT-Owned Business Enterprise</t>
  </si>
  <si>
    <t>Health Care: In-Patient</t>
  </si>
  <si>
    <t>Yes-DBE Type Not Listed</t>
  </si>
  <si>
    <t>Health Care: Nursing Home</t>
  </si>
  <si>
    <t>Health Care: Out-Patient</t>
  </si>
  <si>
    <t>Convenience Store (non-24 hour)</t>
  </si>
  <si>
    <t>Lodging (Hotel/Motel/Dorm): Common Areas</t>
  </si>
  <si>
    <t>Lodging (Hotel/Motel/Dorm): Room</t>
  </si>
  <si>
    <t>Manufacturing</t>
  </si>
  <si>
    <t>Multi-family Housing: Common Areas</t>
  </si>
  <si>
    <t>Non-Warehouse Storage (Generic)</t>
  </si>
  <si>
    <t>Office</t>
  </si>
  <si>
    <t>Office (attached to other facility)</t>
  </si>
  <si>
    <t>Parking Structure</t>
  </si>
  <si>
    <t>Public Assembly</t>
  </si>
  <si>
    <t>Public Order and Safety</t>
  </si>
  <si>
    <t>Religious Gathering</t>
  </si>
  <si>
    <t>Restroom (Generic)</t>
  </si>
  <si>
    <t>Retail: Enclosed Mall</t>
  </si>
  <si>
    <t>Retail: Freestanding</t>
  </si>
  <si>
    <t>Retail: Other</t>
  </si>
  <si>
    <t>Retail: Strip Mall</t>
  </si>
  <si>
    <t>Service: Excluding Food</t>
  </si>
  <si>
    <t>Window Film</t>
  </si>
  <si>
    <t>Warehouse: Non-Refrigerated</t>
  </si>
  <si>
    <t>Warehouse: Refrigerated</t>
  </si>
  <si>
    <t>Other/Unknown</t>
  </si>
  <si>
    <t>Misc</t>
  </si>
  <si>
    <t>Custom</t>
  </si>
  <si>
    <t>Table_Measure_Caps</t>
  </si>
  <si>
    <t>Table_Bonus_Caps</t>
  </si>
  <si>
    <t>Worksheet</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</si>
  <si>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</si>
  <si>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</si>
  <si>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</si>
  <si>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</si>
  <si>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</si>
  <si>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</si>
  <si>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</si>
  <si>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</si>
  <si>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</si>
  <si>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</si>
  <si>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</si>
  <si>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</si>
  <si>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Com Kitchen</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</si>
  <si>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</si>
  <si>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</si>
  <si>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</si>
  <si>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</si>
  <si>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</si>
  <si>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</si>
  <si>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</si>
  <si>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</si>
  <si>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</si>
  <si>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</si>
  <si>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</si>
  <si>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</si>
  <si>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</si>
  <si>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</si>
  <si>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</si>
  <si>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</si>
  <si>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</si>
  <si>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</si>
  <si>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</si>
  <si>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</si>
  <si>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</si>
  <si>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</si>
  <si>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</si>
  <si>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</si>
  <si>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</si>
  <si>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</si>
  <si>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</si>
  <si>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</si>
  <si>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</si>
  <si>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</si>
  <si>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</si>
  <si>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</si>
  <si>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</si>
  <si>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</si>
  <si>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</si>
  <si>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</si>
  <si>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</si>
  <si>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</si>
  <si>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</si>
  <si>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Check Payable To</t>
  </si>
  <si>
    <t>NA</t>
  </si>
  <si>
    <t>Payee</t>
  </si>
  <si>
    <t>Tab</t>
  </si>
  <si>
    <t>Project Number</t>
  </si>
  <si>
    <t>Line Ref No.</t>
  </si>
  <si>
    <t>kWh Savings</t>
  </si>
  <si>
    <t>kW Savings</t>
  </si>
  <si>
    <t>Calculator Version</t>
  </si>
  <si>
    <t>Uncapped Incentive</t>
  </si>
  <si>
    <t>ea.</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</si>
  <si>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</si>
  <si>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</si>
  <si>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</si>
  <si>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Fast Food</t>
  </si>
  <si>
    <t>Grocery</t>
  </si>
  <si>
    <t>Health Clinic</t>
  </si>
  <si>
    <t>Large Office</t>
  </si>
  <si>
    <t>Lodging</t>
  </si>
  <si>
    <t>Full Menu Restaurant</t>
  </si>
  <si>
    <t>Retail</t>
  </si>
  <si>
    <t>School</t>
  </si>
  <si>
    <t>Small Office</t>
  </si>
  <si>
    <t>University</t>
  </si>
  <si>
    <t>Baseline</t>
  </si>
  <si>
    <t>Efficient (Requirement)</t>
  </si>
  <si>
    <t>Tons Requirement</t>
  </si>
  <si>
    <t>Equipment Type</t>
  </si>
  <si>
    <t>Min EER</t>
  </si>
  <si>
    <t>Min SEER/IEER</t>
  </si>
  <si>
    <t>Min Htg Eff. (HSPF)</t>
  </si>
  <si>
    <t>Min</t>
  </si>
  <si>
    <t>Max</t>
  </si>
  <si>
    <t>A/C Unit (5.42 - 11.24 Tons) - Min. efficiency 12.2 EER/14.8 SEER</t>
  </si>
  <si>
    <t>A/C Unit (11.25 - 19.9 Tons) - Min. efficiency 12.2 EER/14.8 SEER</t>
  </si>
  <si>
    <t>Capacity (Tons)</t>
  </si>
  <si>
    <t>&lt; 75</t>
  </si>
  <si>
    <t>&lt; 300</t>
  </si>
  <si>
    <t>A/C Unit (&lt; 5.42 Tons) - Min. efficiency of 12.3 EER/14.5 SEER2</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</si>
  <si>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</si>
  <si>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</si>
  <si>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</si>
  <si>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</si>
  <si>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</si>
  <si>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</si>
  <si>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A/C Tune-Up (1.5 to 3.5 Tons)</t>
  </si>
  <si>
    <t>A/C Tune-Up (3.6 to 5.0 Tons)</t>
  </si>
  <si>
    <t>A/C Tune-Up (5.1 to 10 Tons)</t>
  </si>
  <si>
    <t>A/C Tune-Up (10.1 to 15 Tons)</t>
  </si>
  <si>
    <t>A/C Tune-Up (15.1 to 25 Tons)</t>
  </si>
  <si>
    <t>A/C Tune-Up (25.1 to 30 Tons)</t>
  </si>
  <si>
    <t>A/C Tune-Up (30.1 to 50 Tons)</t>
  </si>
  <si>
    <t>A/C Tune-Up (50.1 to 80 Tons)</t>
  </si>
  <si>
    <t>A/C Tune-Up (80.1+ Tons)</t>
  </si>
  <si>
    <t>Heat Pump Tune-Up (1.5 to 3.5 Tons)</t>
  </si>
  <si>
    <t>Heat Pump Tune-Up (3.6 to 5.0 Tons)</t>
  </si>
  <si>
    <t>Heat Pump Tune-Up (5.1 to 10 Tons)</t>
  </si>
  <si>
    <t>Heat Pump Tune-Up (10.1 to 15 Tons)</t>
  </si>
  <si>
    <t>Heat Pump Tune-Up (15.1 to 25 Tons)</t>
  </si>
  <si>
    <t>Heat Pump Tune-Up (25.1 to 30 Tons)</t>
  </si>
  <si>
    <t>Heat Pump Tune-Up (30.1 to 50 Tons)</t>
  </si>
  <si>
    <t>Heat Pump Tune-Up (50.1 to 80 Tons)</t>
  </si>
  <si>
    <t>Heat Pump Tune-Up (80.1+ Tons)</t>
  </si>
  <si>
    <t>Unit</t>
  </si>
  <si>
    <t>Prescriptive HVAC Tune-Up</t>
  </si>
  <si>
    <t>Prescriptive Chiller Tune-Up</t>
  </si>
  <si>
    <t>Tune-Up of Air-Cooled Chiller</t>
  </si>
  <si>
    <t>Tune-Up of Water-Cooled Chiller (Reciprocating, Rotary Screw, Scroll)</t>
  </si>
  <si>
    <t>Tune-Up of Water-Cooled Chiller (Centrifugal)</t>
  </si>
  <si>
    <t>Ton</t>
  </si>
  <si>
    <t xml:space="preserve">Contains information about the workbook, requirements for eligible equipment and application package submittal instructions. </t>
  </si>
  <si>
    <t xml:space="preserve">Cells colored in gray should not be filled in and may be locked to prevent data entry. </t>
  </si>
  <si>
    <t>Chillers</t>
  </si>
  <si>
    <t>Pre Wattage</t>
  </si>
  <si>
    <t>Post Wattage</t>
  </si>
  <si>
    <t>Pre EER</t>
  </si>
  <si>
    <t>Post EER</t>
  </si>
  <si>
    <t>kWh Savings (Cooling)</t>
  </si>
  <si>
    <t>kWh Savings (Heating)</t>
  </si>
  <si>
    <t>EFLH (Cooling)</t>
  </si>
  <si>
    <t>EFLH (Heating)</t>
  </si>
  <si>
    <t>Capacity (Btu/hr)</t>
  </si>
  <si>
    <t>Efficiency Difference</t>
  </si>
  <si>
    <t>Assembly</t>
  </si>
  <si>
    <t>College/University</t>
  </si>
  <si>
    <t>Fast Food Restaurant</t>
  </si>
  <si>
    <t>Grocery Store</t>
  </si>
  <si>
    <t>Large Office (&gt;30k SqFt)</t>
  </si>
  <si>
    <t>Religious Worship</t>
  </si>
  <si>
    <t>Small Office (&lt;=30k Sq Ft)</t>
  </si>
  <si>
    <t>All Other</t>
  </si>
  <si>
    <t>Entergy Solutions project application package</t>
  </si>
  <si>
    <r>
      <t xml:space="preserve">Before ordering equipment, submit application package to </t>
    </r>
    <r>
      <rPr>
        <b/>
        <sz val="10"/>
        <color rgb="FFFF1A58"/>
        <rFont val="Arial"/>
        <family val="2"/>
      </rPr>
      <t>EntergySolutionsLA@entergy.com</t>
    </r>
    <r>
      <rPr>
        <sz val="10"/>
        <color theme="1"/>
        <rFont val="Arial"/>
        <family val="2"/>
      </rPr>
      <t xml:space="preserve">.
</t>
    </r>
    <r>
      <rPr>
        <b/>
        <sz val="10"/>
        <color theme="1"/>
        <rFont val="Arial"/>
        <family val="2"/>
      </rPr>
      <t xml:space="preserve">Application package includes: </t>
    </r>
    <r>
      <rPr>
        <sz val="10"/>
        <color theme="1"/>
        <rFont val="Arial"/>
        <family val="2"/>
      </rPr>
      <t xml:space="preserve">
1. Completed Entergy Solutions workbook (this workbook).
2. Entergy Louisiana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</si>
  <si>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</si>
  <si>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</si>
  <si>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No data entry required cell</t>
  </si>
  <si>
    <t>Workbook tabs</t>
  </si>
  <si>
    <t>Intro tab</t>
  </si>
  <si>
    <t>Application tab</t>
  </si>
  <si>
    <t>Signature tab</t>
  </si>
  <si>
    <t>Summary tab</t>
  </si>
  <si>
    <t>Equipment qualifications</t>
  </si>
  <si>
    <r>
      <t xml:space="preserve">Provides project application.  This tab must be completed before submitting application package to the Entergy Solutions program.  </t>
    </r>
    <r>
      <rPr>
        <b/>
        <i/>
        <sz val="10"/>
        <color rgb="FFFF1A58"/>
        <rFont val="Arial"/>
        <family val="2"/>
      </rPr>
      <t>Data entry required</t>
    </r>
    <r>
      <rPr>
        <b/>
        <i/>
        <sz val="10"/>
        <color theme="1"/>
        <rFont val="Arial"/>
        <family val="2"/>
      </rPr>
      <t>.</t>
    </r>
  </si>
  <si>
    <r>
      <t xml:space="preserve">Contains the Customer Application Agreement and link to program terms and conditions. 
</t>
    </r>
    <r>
      <rPr>
        <b/>
        <i/>
        <sz val="10"/>
        <color rgb="FFFF1A58"/>
        <rFont val="Arial"/>
        <family val="2"/>
      </rPr>
      <t>Customer's electric signature required</t>
    </r>
    <r>
      <rPr>
        <b/>
        <i/>
        <sz val="10"/>
        <color theme="1"/>
        <rFont val="Arial"/>
        <family val="2"/>
      </rPr>
      <t xml:space="preserve">. </t>
    </r>
  </si>
  <si>
    <r>
      <t xml:space="preserve">Provides a space for entering information on prescriptive HVAC DX Tune-Up measures.  
</t>
    </r>
    <r>
      <rPr>
        <b/>
        <i/>
        <sz val="10"/>
        <color rgb="FFFF1A58"/>
        <rFont val="Arial"/>
        <family val="2"/>
      </rPr>
      <t xml:space="preserve">Data entry required if applying for prescriptive HVAC tune-ups measures. </t>
    </r>
  </si>
  <si>
    <r>
      <t xml:space="preserve">Provides spaces for entering information on prescriptive Chiller Tune-Up measures. 
</t>
    </r>
    <r>
      <rPr>
        <b/>
        <i/>
        <sz val="10"/>
        <color rgb="FFFF1A58"/>
        <rFont val="Arial"/>
        <family val="2"/>
      </rPr>
      <t>Data entry required if applying for prescriptive chiller tune-up measures.</t>
    </r>
    <r>
      <rPr>
        <b/>
        <i/>
        <sz val="10"/>
        <color theme="8"/>
        <rFont val="Arial"/>
        <family val="2"/>
      </rPr>
      <t xml:space="preserve"> </t>
    </r>
  </si>
  <si>
    <t>Entergy Louisiana customer information</t>
  </si>
  <si>
    <t>Business/organization name</t>
  </si>
  <si>
    <t>Customer contact name</t>
  </si>
  <si>
    <t>Legal street address 
(as shown on W-9)</t>
  </si>
  <si>
    <t>ZIP code</t>
  </si>
  <si>
    <t>Phone number</t>
  </si>
  <si>
    <t>Contact email address</t>
  </si>
  <si>
    <t>Business/organization classification</t>
  </si>
  <si>
    <t>Is this customer a Disadvantaged Business Enterprise (DBE)?</t>
  </si>
  <si>
    <t>Trade ally/contractor information</t>
  </si>
  <si>
    <t>Business name</t>
  </si>
  <si>
    <t>Trade ally contact name</t>
  </si>
  <si>
    <t>Email address</t>
  </si>
  <si>
    <t>Registered trade ally?</t>
  </si>
  <si>
    <t>Additional contact information (optional)</t>
  </si>
  <si>
    <t>Additional contact name</t>
  </si>
  <si>
    <t>Project role</t>
  </si>
  <si>
    <t>Additional information</t>
  </si>
  <si>
    <t xml:space="preserve">How did you hear about the Entergy Solutions Program? </t>
  </si>
  <si>
    <t>Project information</t>
  </si>
  <si>
    <t>Job site information</t>
  </si>
  <si>
    <t>Incentive payment information</t>
  </si>
  <si>
    <t>Brief project description</t>
  </si>
  <si>
    <t>Estimated project start date</t>
  </si>
  <si>
    <t>Estimated project completion date</t>
  </si>
  <si>
    <t>Program type</t>
  </si>
  <si>
    <t>Project stage</t>
  </si>
  <si>
    <t>Project installation type</t>
  </si>
  <si>
    <t>Job site business/organization name</t>
  </si>
  <si>
    <t>Job site contact name</t>
  </si>
  <si>
    <t>Job site address</t>
  </si>
  <si>
    <t>Entergy account number</t>
  </si>
  <si>
    <t>New account? (last 8 weeks)</t>
  </si>
  <si>
    <t>Year built</t>
  </si>
  <si>
    <t>Square footage</t>
  </si>
  <si>
    <t>Average electric rate ($/kWh)</t>
  </si>
  <si>
    <t>Building type</t>
  </si>
  <si>
    <t>Heating &amp; cooling system</t>
  </si>
  <si>
    <t>Water heating system</t>
  </si>
  <si>
    <t>Mail incentive check to</t>
  </si>
  <si>
    <t>Attention to (optional)</t>
  </si>
  <si>
    <t>Make check payable to</t>
  </si>
  <si>
    <t>Federal tax ID number</t>
  </si>
  <si>
    <t>Tax entity</t>
  </si>
  <si>
    <t>Electronic signature (customer)</t>
  </si>
  <si>
    <t>Building/space type</t>
  </si>
  <si>
    <t>Line ref. no.</t>
  </si>
  <si>
    <t>Measure number</t>
  </si>
  <si>
    <t>Location/measure notes</t>
  </si>
  <si>
    <t>DX tune-up measure</t>
  </si>
  <si>
    <t>Unit of measure</t>
  </si>
  <si>
    <t>Unit capacity (tons)</t>
  </si>
  <si>
    <t>Unit make &amp; model</t>
  </si>
  <si>
    <t>Pre-voltage measurement</t>
  </si>
  <si>
    <t>Post-voltage measurement</t>
  </si>
  <si>
    <t>Pre-amperage measurement</t>
  </si>
  <si>
    <t>Post-amperage measurement</t>
  </si>
  <si>
    <t>Per-unit incentive</t>
  </si>
  <si>
    <t>Estimated incentive</t>
  </si>
  <si>
    <t>Energy savings (kWh)</t>
  </si>
  <si>
    <t>Demand reduction (kW)</t>
  </si>
  <si>
    <t>Cost savings</t>
  </si>
  <si>
    <t>Gross measure cost</t>
  </si>
  <si>
    <t>Net measure cost</t>
  </si>
  <si>
    <t>Simple payback (years)</t>
  </si>
  <si>
    <t>Chiller tune-up measure</t>
  </si>
  <si>
    <t>Number of units</t>
  </si>
  <si>
    <t>Full load kW/ton</t>
  </si>
  <si>
    <t>Part load (IPLV) kW/ton</t>
  </si>
  <si>
    <t>Total gross project cost</t>
  </si>
  <si>
    <t>Estimated project incentive</t>
  </si>
  <si>
    <t>Net project cost</t>
  </si>
  <si>
    <t>Project energy savings (kWh)</t>
  </si>
  <si>
    <t xml:space="preserve">Project contacts </t>
  </si>
  <si>
    <t>Trade ally</t>
  </si>
  <si>
    <t>Additional contact</t>
  </si>
  <si>
    <t>Energy savings summary</t>
  </si>
  <si>
    <t>Incentive type</t>
  </si>
  <si>
    <t>kW reduction</t>
  </si>
  <si>
    <t>Financial details</t>
  </si>
  <si>
    <t>Gross project cost</t>
  </si>
  <si>
    <t>Project summary</t>
  </si>
  <si>
    <t>Project installation completion date</t>
  </si>
  <si>
    <t>Mail to</t>
  </si>
  <si>
    <t>A/C &amp; Heat pumps</t>
  </si>
  <si>
    <r>
      <t>Thank you for participating in the Entergy Solutions program. Entergy Solutions is proud to help Lousiana businesses increase energy efficiency and lower costs. Contact us on our website (</t>
    </r>
    <r>
      <rPr>
        <b/>
        <sz val="10"/>
        <color rgb="FFFF1A58"/>
        <rFont val="Arial"/>
        <family val="2"/>
      </rPr>
      <t>www.entergy-louisiana.com/energy-efficiency-program/business/</t>
    </r>
    <r>
      <rPr>
        <b/>
        <sz val="10"/>
        <color theme="1"/>
        <rFont val="Arial"/>
        <family val="2"/>
      </rPr>
      <t>). for more opportunities to save.</t>
    </r>
  </si>
  <si>
    <t>This form should not be used or signed until after the project is installed. To indicate that a project has been installed, please update the Project Stage field on the Project Tab to "Post-Retrofit."</t>
  </si>
  <si>
    <t>Cells with a white background are data input cells where required information is needed. Some data entry cells will have drop down selection that limit what data may be entered.</t>
  </si>
  <si>
    <t>Product of APTIM Environmental &amp; Infrastructure, LLC</t>
  </si>
  <si>
    <t>Unit Make &amp; Model Number:</t>
  </si>
  <si>
    <t>Unit Serial Number (if available):</t>
  </si>
  <si>
    <t>Chiller Measurement Requirements</t>
  </si>
  <si>
    <t>Pre-Implementation</t>
  </si>
  <si>
    <t>Post-Implementation</t>
  </si>
  <si>
    <t>System pressure (psig)</t>
  </si>
  <si>
    <t>Compressor amp draw</t>
  </si>
  <si>
    <t>Liquid line temperature (°F)</t>
  </si>
  <si>
    <t>Subcooling temperature (°F)</t>
  </si>
  <si>
    <t>Superheat temperature (°F)</t>
  </si>
  <si>
    <t>Suction pressure (psig)</t>
  </si>
  <si>
    <t>Suction temperature (°F)</t>
  </si>
  <si>
    <t>Condenser fan motor amp draw</t>
  </si>
  <si>
    <t>Supply fan motor amp draw</t>
  </si>
  <si>
    <t>Average Tons</t>
  </si>
  <si>
    <t>kWh/Ton</t>
  </si>
  <si>
    <t>kW/Ton</t>
  </si>
  <si>
    <t>A/C + Heat Pump</t>
  </si>
  <si>
    <t>ΔkWhcooling = (cooling capacity,kBtu/hr)/EER*EFLHc*%Savings</t>
  </si>
  <si>
    <t>Heat Pump Only</t>
  </si>
  <si>
    <t>ΔkWhheating = (heating capacity,kBtu/hr)/HSPF*EFLHh*%Savings</t>
  </si>
  <si>
    <t>Size Category (BTU/hr.)</t>
  </si>
  <si>
    <t>EER (BTU/watt-hr)</t>
  </si>
  <si>
    <t>EERpre</t>
  </si>
  <si>
    <t>&lt; 65,000</t>
  </si>
  <si>
    <r>
      <t>&gt;</t>
    </r>
    <r>
      <rPr>
        <sz val="11"/>
        <color indexed="8"/>
        <rFont val="Calibri"/>
        <family val="1"/>
        <charset val="204"/>
      </rPr>
      <t xml:space="preserve"> 65,000 and &lt; 135,000</t>
    </r>
  </si>
  <si>
    <r>
      <t>&gt;</t>
    </r>
    <r>
      <rPr>
        <sz val="11"/>
        <color indexed="8"/>
        <rFont val="Calibri"/>
        <family val="1"/>
        <charset val="204"/>
      </rPr>
      <t xml:space="preserve"> 135,000 and &lt; 240,000</t>
    </r>
  </si>
  <si>
    <r>
      <t>&gt;</t>
    </r>
    <r>
      <rPr>
        <sz val="11"/>
        <color indexed="8"/>
        <rFont val="Calibri"/>
        <family val="1"/>
        <charset val="204"/>
      </rPr>
      <t xml:space="preserve"> 240,000 and &lt; 760,000</t>
    </r>
  </si>
  <si>
    <t>Default HSPF</t>
  </si>
  <si>
    <t>HSPFpre</t>
  </si>
  <si>
    <r>
      <t>&gt;</t>
    </r>
    <r>
      <rPr>
        <sz val="11"/>
        <color indexed="8"/>
        <rFont val="Calibri"/>
        <family val="1"/>
        <charset val="204"/>
      </rPr>
      <t xml:space="preserve"> 240,000</t>
    </r>
  </si>
  <si>
    <t>Subcategory or Rating
Condition</t>
  </si>
  <si>
    <t>Split System</t>
  </si>
  <si>
    <t>Single Package</t>
  </si>
  <si>
    <t>47°F db/43°F wb Outdoor Air</t>
  </si>
  <si>
    <t>17°F db/15°F wb Outdoor Air</t>
  </si>
  <si>
    <r>
      <t>&gt;</t>
    </r>
    <r>
      <rPr>
        <sz val="11"/>
        <color indexed="8"/>
        <rFont val="Calibri"/>
        <family val="1"/>
        <charset val="204"/>
      </rPr>
      <t xml:space="preserve"> 135,000</t>
    </r>
  </si>
  <si>
    <t>Table 2-46 Efficiency Loss Percentage by Refrigerant Charge Level (Fixed Orifice)</t>
  </si>
  <si>
    <t>% Charged</t>
  </si>
  <si>
    <t>EL</t>
  </si>
  <si>
    <r>
      <t>&lt;</t>
    </r>
    <r>
      <rPr>
        <sz val="11"/>
        <color indexed="8"/>
        <rFont val="Calibri"/>
        <family val="1"/>
        <charset val="204"/>
      </rPr>
      <t xml:space="preserve"> 70</t>
    </r>
  </si>
  <si>
    <r>
      <t>&gt;</t>
    </r>
    <r>
      <rPr>
        <sz val="11"/>
        <color indexed="8"/>
        <rFont val="Calibri"/>
        <family val="1"/>
        <charset val="204"/>
      </rPr>
      <t xml:space="preserve"> 120</t>
    </r>
  </si>
  <si>
    <t>Table 2-47 Efficiency Loss Percentage by Refrigerant Charge Level (TXV)</t>
  </si>
  <si>
    <t>Chiller Type</t>
  </si>
  <si>
    <t>&lt; 150</t>
  </si>
  <si>
    <t>9.562 EER</t>
  </si>
  <si>
    <t>Air cooled</t>
  </si>
  <si>
    <t>All</t>
  </si>
  <si>
    <t>12.5 IPLV</t>
  </si>
  <si>
    <r>
      <t>&gt;</t>
    </r>
    <r>
      <rPr>
        <sz val="11"/>
        <color indexed="8"/>
        <rFont val="Times New Roman"/>
        <family val="1"/>
        <charset val="204"/>
      </rPr>
      <t xml:space="preserve"> 150</t>
    </r>
  </si>
  <si>
    <t>12.75 IPLV</t>
  </si>
  <si>
    <t>0.780 kW/ton</t>
  </si>
  <si>
    <t>0.630 IPLV</t>
  </si>
  <si>
    <t>Water cooled</t>
  </si>
  <si>
    <t>Rotary/ Screw/Scroll/ Reciprocating</t>
  </si>
  <si>
    <r>
      <t>&gt;</t>
    </r>
    <r>
      <rPr>
        <sz val="11"/>
        <color indexed="8"/>
        <rFont val="Times New Roman"/>
        <family val="1"/>
        <charset val="204"/>
      </rPr>
      <t xml:space="preserve"> 75 and &lt; 150</t>
    </r>
  </si>
  <si>
    <t>0.775 kW/ton
0.615 IPLV</t>
  </si>
  <si>
    <r>
      <t>&gt;</t>
    </r>
    <r>
      <rPr>
        <sz val="11"/>
        <color indexed="8"/>
        <rFont val="Times New Roman"/>
        <family val="1"/>
        <charset val="204"/>
      </rPr>
      <t xml:space="preserve"> 150 and &lt; 300</t>
    </r>
  </si>
  <si>
    <t>0.680 kW/ton
0.580 IPLV</t>
  </si>
  <si>
    <r>
      <t>&gt;</t>
    </r>
    <r>
      <rPr>
        <sz val="11"/>
        <color indexed="8"/>
        <rFont val="Times New Roman"/>
        <family val="1"/>
        <charset val="204"/>
      </rPr>
      <t xml:space="preserve"> 300</t>
    </r>
  </si>
  <si>
    <t>0.620 kW/ton
0.540 IPLV</t>
  </si>
  <si>
    <t>0.634 kW/ton
0.596 IPLV</t>
  </si>
  <si>
    <t>Centrifugal</t>
  </si>
  <si>
    <r>
      <t>&gt;</t>
    </r>
    <r>
      <rPr>
        <sz val="11"/>
        <color indexed="8"/>
        <rFont val="Times New Roman"/>
        <family val="1"/>
        <charset val="204"/>
      </rPr>
      <t xml:space="preserve"> 300 and &lt; 600</t>
    </r>
  </si>
  <si>
    <t>0.576 kW/ton
0.549 IPLV</t>
  </si>
  <si>
    <t>Table 276: Chillers – Baseline Efficiency Levels for Chilled Water Packages (Arkansas TRM v7.0)</t>
  </si>
  <si>
    <t>Minimum Efficiency</t>
  </si>
  <si>
    <r>
      <t>&gt;</t>
    </r>
    <r>
      <rPr>
        <sz val="11"/>
        <color indexed="8"/>
        <rFont val="Times New Roman"/>
        <family val="1"/>
        <charset val="204"/>
      </rPr>
      <t xml:space="preserve"> 600                                </t>
    </r>
  </si>
  <si>
    <t>0.570 kW/ton</t>
  </si>
  <si>
    <t>0.539 IPLV</t>
  </si>
  <si>
    <t>Refrigerant Charge Adjustment?</t>
  </si>
  <si>
    <t>EER</t>
  </si>
  <si>
    <t>HSPF</t>
  </si>
  <si>
    <t>Total equipment + labor cost</t>
  </si>
  <si>
    <t>Table 2-44 Deemed Savings by Building Type  – Commercial AC Tune-up (NOLA TRM v7.0)</t>
  </si>
  <si>
    <t>Table 2-45 Deemed Savings by Building Type  – Commercial Heat Pump Tune-up (NOLA TRM v7.0)</t>
  </si>
  <si>
    <t>Commercial and Industrial HVAC Tune-Up Workbook</t>
  </si>
  <si>
    <t>Project Application Information</t>
  </si>
  <si>
    <t>HVAC Tune-Up Measure Input</t>
  </si>
  <si>
    <t>Chiller Tune-Up Measure Input</t>
  </si>
  <si>
    <t>Project Summary Report</t>
  </si>
  <si>
    <t>Project Completion Notice</t>
  </si>
  <si>
    <t>Equipment + Labor Cost</t>
  </si>
  <si>
    <t>If Entergy Solutions has a question, we should contact:</t>
  </si>
  <si>
    <t>Table 2‑34 Equivalent Full-Load Hours by building type (Arkansas TRM v7.0)</t>
  </si>
  <si>
    <t>Arkansas TRM v7.0</t>
  </si>
  <si>
    <t>Table 236: Default Air Conditioner EER per Size Category (Arkansas TRM v7.0)</t>
  </si>
  <si>
    <t>Table 237: Default Heat Pump EER per Size Category (Arkansas TRM v7.0)</t>
  </si>
  <si>
    <t>Table 238: Default Heat Pump HSPF per Size Category (Arkansas TRM v7.0)</t>
  </si>
  <si>
    <t>Illinois TRM v9.0 vol.2</t>
  </si>
  <si>
    <t>Incentive - SC (RCA)</t>
  </si>
  <si>
    <t>Incentive - LC (No RCA)</t>
  </si>
  <si>
    <r>
      <t xml:space="preserve">Entergy Solutions energy efficiency incentives are available to all commercial Entergy Louisiana customers.  This workbook serves as the primary application for non-lighting energy efficiency projects. The workbook provides an estimate of the energy saved as well as potential Entergy Solutions incentives, subject to review and approval by the program team. </t>
    </r>
    <r>
      <rPr>
        <b/>
        <sz val="10"/>
        <color rgb="FFFF1A58"/>
        <rFont val="Arial"/>
        <family val="2"/>
      </rPr>
      <t xml:space="preserve">Pre-approval and (if necessary) a pre-installation site inspection by program personnel are required for all tune-up project applications prior to any work or installation being started.
</t>
    </r>
    <r>
      <rPr>
        <sz val="10"/>
        <color theme="1"/>
        <rFont val="Arial"/>
        <family val="2"/>
      </rPr>
      <t xml:space="preserve">
</t>
    </r>
  </si>
  <si>
    <t>Version 4.0</t>
  </si>
  <si>
    <t>Incentive - LC (RCA)</t>
  </si>
  <si>
    <t>Incentive - SC (No RCA)</t>
  </si>
  <si>
    <r>
      <rPr>
        <b/>
        <sz val="10"/>
        <color theme="1"/>
        <rFont val="Arial"/>
        <family val="2"/>
      </rPr>
      <t xml:space="preserve">For chiller tune-ups to be eligible for Entergy Solutions incentives:   </t>
    </r>
    <r>
      <rPr>
        <sz val="10"/>
        <color theme="1"/>
        <rFont val="Arial"/>
        <family val="2"/>
      </rPr>
      <t xml:space="preserve">                                                                  </t>
    </r>
    <r>
      <rPr>
        <i/>
        <sz val="10"/>
        <color theme="1"/>
        <rFont val="Arial"/>
        <family val="2"/>
      </rPr>
      <t>Incentives are tiered based on the type of chiller equipment (air-cooled vs. water-cooled)</t>
    </r>
    <r>
      <rPr>
        <sz val="10"/>
        <color theme="1"/>
        <rFont val="Arial"/>
        <family val="2"/>
      </rPr>
      <t xml:space="preserve">                                                    </t>
    </r>
    <r>
      <rPr>
        <b/>
        <sz val="10"/>
        <color theme="1"/>
        <rFont val="Arial"/>
        <family val="2"/>
      </rPr>
      <t>Tune-up requirements:</t>
    </r>
    <r>
      <rPr>
        <sz val="10"/>
        <color theme="1"/>
        <rFont val="Arial"/>
        <family val="2"/>
      </rPr>
      <t xml:space="preserve">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and
▪ Check economizer operation.                                                                                                                                                     
                                                                                                                                                                      </t>
    </r>
  </si>
  <si>
    <t>$/kWh LC</t>
  </si>
  <si>
    <t>$/kWh SC</t>
  </si>
  <si>
    <t>A message from Entergy Louisiana, LLC ©2025 Entergy Services, LLC. All Rights Reserved. The Entergy Solutions program is an energy efficiency program and not affiliated with Entergy Solutions, LLC.</t>
  </si>
  <si>
    <r>
      <rPr>
        <b/>
        <sz val="10"/>
        <color theme="1"/>
        <rFont val="Arial"/>
        <family val="2"/>
      </rPr>
      <t>For HVAC DX (A-C &amp; Heat Pump) tune-ups to be eligible for Entergy Solutions incentives:</t>
    </r>
    <r>
      <rPr>
        <sz val="10"/>
        <color theme="1"/>
        <rFont val="Arial"/>
        <family val="2"/>
      </rPr>
      <t xml:space="preserve">                                  </t>
    </r>
    <r>
      <rPr>
        <i/>
        <sz val="10"/>
        <color theme="1"/>
        <rFont val="Arial"/>
        <family val="2"/>
      </rPr>
      <t>Incentives are tiered based on the specific capacity range of the individual equipment in scope.</t>
    </r>
    <r>
      <rPr>
        <b/>
        <sz val="10"/>
        <color theme="1"/>
        <rFont val="Arial"/>
        <family val="2"/>
      </rPr>
      <t xml:space="preserve">   </t>
    </r>
    <r>
      <rPr>
        <sz val="10"/>
        <color theme="1"/>
        <rFont val="Arial"/>
        <family val="2"/>
      </rPr>
      <t xml:space="preserve">                                        Trade allies submitting this measure are encouraged to perform test-in and test-out measurements of equipment voltage and amperage (current) for condenser and blower motors or each power lead for three-phase systems, as well as return + supply air dry bulb temperature and wet bulb temperature (or relative humidity), and lastly return air CFM.                                                 ▪ Inspect and clean condenser, evaporator coils, and blower. 
▪ Inspect refrigerant level and adjust to manufacturer specifications.
▪ Measure the static pressure across the cooling coil to verify adequate system airflow and adjust to manufacturer specifications.
▪ Inspect, clean, or change air filters.
▪ Calibrate thermostat on/off setpoints based on building occupancy.
▪ Tighten all electrical connections, and measure voltage and current on motors.
▪ Lubricate all moving parts, including motor and fan bearings.
▪ Inspect and clean the condensate drain.
▪ Inspect controls of the system to ensure proper and safe operation. Check the starting cycle of the equipment to assure the system starts, operates, and shuts off properly.
▪ Provide documentation showing completion of the above checklist to the utility or the utility’s
representative.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</si>
</sst>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 numFmtId="172" formatCode="0.0000"/>
    <numFmt numFmtId="173" formatCode="_(* #,##0.0_);_(* \(#,##0.0\);_(* &quot;-&quot;??_);_(@_)"/>
  </numFmts>
  <fonts count="69"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1"/>
      <color theme="1"/>
      <name val="Calibri Light"/>
      <family val="2"/>
      <scheme val="major"/>
    </font>
    <font>
      <b/>
      <sz val="9"/>
      <color indexed="81"/>
      <name val="Tahoma"/>
      <family val="2"/>
    </font>
    <font>
      <sz val="11"/>
      <color theme="1"/>
      <name val="Calibri"/>
      <family val="2"/>
    </font>
    <font>
      <b/>
      <sz val="20"/>
      <color rgb="FFFF1A58"/>
      <name val="Arial"/>
      <family val="2"/>
    </font>
    <font>
      <b/>
      <sz val="18"/>
      <color theme="0"/>
      <name val="Arial"/>
      <family val="2"/>
    </font>
    <font>
      <b/>
      <sz val="12"/>
      <color theme="0"/>
      <name val="Arial"/>
      <family val="2"/>
    </font>
    <font>
      <b/>
      <sz val="10"/>
      <color theme="1"/>
      <name val="Arial"/>
      <family val="2"/>
    </font>
    <font>
      <sz val="10"/>
      <color rgb="FF000000"/>
      <name val="Arial"/>
      <family val="2"/>
    </font>
    <font>
      <b/>
      <sz val="10"/>
      <color theme="0"/>
      <name val="Arial"/>
      <family val="2"/>
    </font>
    <font>
      <b/>
      <i/>
      <sz val="10"/>
      <color theme="8"/>
      <name val="Arial"/>
      <family val="2"/>
    </font>
    <font>
      <b/>
      <sz val="10"/>
      <color rgb="FFFF1A58"/>
      <name val="Arial"/>
      <family val="2"/>
    </font>
    <font>
      <b/>
      <i/>
      <sz val="10"/>
      <color rgb="FFFF1A58"/>
      <name val="Arial"/>
      <family val="2"/>
    </font>
    <font>
      <b/>
      <i/>
      <sz val="10"/>
      <color theme="1"/>
      <name val="Arial"/>
      <family val="2"/>
    </font>
    <font>
      <strike/>
      <sz val="10"/>
      <color theme="1"/>
      <name val="Arial"/>
      <family val="2"/>
    </font>
    <font>
      <b/>
      <sz val="14"/>
      <color theme="0"/>
      <name val="Arial"/>
      <family val="2"/>
    </font>
    <font>
      <b/>
      <sz val="11"/>
      <color rgb="FFFA7D00"/>
      <name val="Calibri"/>
      <family val="2"/>
      <scheme val="minor"/>
    </font>
    <font>
      <i/>
      <sz val="10"/>
      <color theme="1"/>
      <name val="Arial"/>
      <family val="2"/>
    </font>
    <font>
      <sz val="11"/>
      <color indexed="8"/>
      <name val="Calibri"/>
      <family val="2"/>
    </font>
    <font>
      <b/>
      <sz val="11"/>
      <color indexed="8"/>
      <name val="Calibri"/>
      <family val="2"/>
    </font>
    <font>
      <sz val="11"/>
      <color indexed="8"/>
      <name val="Arial"/>
      <family val="2"/>
    </font>
    <font>
      <sz val="11"/>
      <color rgb="FF000000"/>
      <name val="Aptos"/>
      <family val="2"/>
    </font>
    <font>
      <b/>
      <sz val="11"/>
      <color indexed="8"/>
      <name val="Calibri"/>
      <family val="1"/>
      <charset val="204"/>
    </font>
    <font>
      <sz val="10"/>
      <name val="Times New Roman"/>
      <family val="1"/>
      <charset val="204"/>
    </font>
    <font>
      <u/>
      <sz val="11"/>
      <color indexed="8"/>
      <name val="Calibri"/>
      <family val="1"/>
      <charset val="204"/>
    </font>
    <font>
      <sz val="11"/>
      <color indexed="8"/>
      <name val="Calibri"/>
      <family val="1"/>
      <charset val="204"/>
    </font>
    <font>
      <b/>
      <sz val="11"/>
      <color indexed="8"/>
      <name val="Times New Roman"/>
      <family val="2"/>
    </font>
    <font>
      <sz val="11"/>
      <color indexed="8"/>
      <name val="Times New Roman"/>
      <family val="2"/>
    </font>
    <font>
      <sz val="11"/>
      <color indexed="8"/>
      <name val="Times New Roman"/>
      <family val="1"/>
      <charset val="204"/>
    </font>
    <font>
      <u/>
      <sz val="11"/>
      <color indexed="8"/>
      <name val="Times New Roman"/>
      <family val="1"/>
      <charset val="204"/>
    </font>
  </fonts>
  <fills count="32">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rgb="FF8DC63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rgb="FFFF1A58"/>
        <bgColor indexed="64"/>
      </patternFill>
    </fill>
    <fill>
      <patternFill patternType="solid">
        <fgColor theme="1"/>
        <bgColor indexed="64"/>
      </patternFill>
    </fill>
    <fill>
      <patternFill patternType="solid">
        <fgColor rgb="FFC0C0C0"/>
        <bgColor indexed="64"/>
      </patternFill>
    </fill>
    <fill>
      <patternFill patternType="solid">
        <fgColor theme="1" tint="0.14999847407452621"/>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indexed="64"/>
      </left>
      <right style="medium">
        <color rgb="FF7F7F7F"/>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7F7F7F"/>
      </right>
      <top style="medium">
        <color indexed="64"/>
      </top>
      <bottom/>
      <diagonal/>
    </border>
    <border>
      <left style="thin">
        <color rgb="FF000000"/>
      </left>
      <right/>
      <top style="thin">
        <color rgb="FF000000"/>
      </top>
      <bottom/>
      <diagonal/>
    </border>
    <border>
      <left style="thin">
        <color auto="1"/>
      </left>
      <right style="thin">
        <color auto="1"/>
      </right>
      <top style="thin">
        <color rgb="FF000000"/>
      </top>
      <bottom style="thin">
        <color auto="1"/>
      </bottom>
      <diagonal/>
    </border>
    <border>
      <left/>
      <right/>
      <top style="thin">
        <color rgb="FF000000"/>
      </top>
      <bottom/>
      <diagonal/>
    </border>
    <border>
      <left/>
      <right style="thin">
        <color rgb="FF000000"/>
      </right>
      <top style="thin">
        <color rgb="FF000000"/>
      </top>
      <bottom/>
      <diagonal/>
    </border>
    <border>
      <left style="thin">
        <color rgb="FF7E7E7E"/>
      </left>
      <right style="thin">
        <color rgb="FF7E7E7E"/>
      </right>
      <top style="thin">
        <color rgb="FF7E7E7E"/>
      </top>
      <bottom style="thin">
        <color rgb="FF7E7E7E"/>
      </bottom>
      <diagonal/>
    </border>
    <border>
      <left style="thin">
        <color rgb="FF7E7E7E"/>
      </left>
      <right/>
      <top style="thin">
        <color rgb="FF7E7E7E"/>
      </top>
      <bottom style="thin">
        <color rgb="FF7E7E7E"/>
      </bottom>
      <diagonal/>
    </border>
    <border>
      <left style="thin">
        <color rgb="FF7E7E7E"/>
      </left>
      <right style="thin">
        <color rgb="FF7E7E7E"/>
      </right>
      <top/>
      <bottom style="thin">
        <color rgb="FF7E7E7E"/>
      </bottom>
      <diagonal/>
    </border>
    <border>
      <left style="thin">
        <color rgb="FF000000"/>
      </left>
      <right style="thin">
        <color rgb="FF000000"/>
      </right>
      <top style="thin">
        <color rgb="FF000000"/>
      </top>
      <bottom/>
      <diagonal/>
    </border>
  </borders>
  <cellStyleXfs count="41">
    <xf numFmtId="0" fontId="0" fillId="0" borderId="0"/>
    <xf numFmtId="0" fontId="29" fillId="0" borderId="0" applyNumberFormat="0" applyFill="0" applyBorder="0" applyAlignment="0" applyProtection="0"/>
    <xf numFmtId="0" fontId="25" fillId="18" borderId="1" applyNumberFormat="0">
      <alignment horizontal="left" vertical="center" wrapText="1"/>
    </xf>
    <xf numFmtId="0" fontId="27" fillId="23" borderId="1" applyNumberFormat="0">
      <alignment horizontal="left" vertical="center" wrapText="1"/>
      <protection locked="0"/>
    </xf>
    <xf numFmtId="9" fontId="3" fillId="0" borderId="0" applyFont="0" applyFill="0" applyBorder="0" applyAlignment="0" applyProtection="0"/>
    <xf numFmtId="0" fontId="30" fillId="0" borderId="0" applyNumberFormat="0" applyFill="0" applyBorder="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0" borderId="17" applyNumberFormat="0" applyFill="0" applyAlignment="0" applyProtection="0"/>
    <xf numFmtId="0" fontId="20" fillId="0" borderId="18" applyNumberFormat="0" applyFill="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4" fillId="14" borderId="5" applyNumberFormat="0" applyAlignment="0" applyProtection="0"/>
    <xf numFmtId="0" fontId="3" fillId="15" borderId="19" applyNumberFormat="0" applyFont="0" applyAlignment="0" applyProtection="0"/>
    <xf numFmtId="0" fontId="15" fillId="0" borderId="20" applyNumberFormat="0" applyFill="0" applyAlignment="0" applyProtection="0"/>
    <xf numFmtId="0" fontId="24" fillId="16" borderId="1" applyNumberFormat="0" applyAlignment="0" applyProtection="0">
      <alignment horizontal="left" vertical="center"/>
    </xf>
    <xf numFmtId="0" fontId="28" fillId="18" borderId="1" applyNumberFormat="0">
      <alignment vertical="center" wrapText="1"/>
    </xf>
    <xf numFmtId="0" fontId="10" fillId="21" borderId="1">
      <alignment horizontal="centerContinuous" vertical="center" wrapText="1"/>
    </xf>
    <xf numFmtId="0" fontId="26" fillId="10" borderId="1">
      <alignment horizontal="centerContinuous" vertical="center" wrapText="1"/>
    </xf>
    <xf numFmtId="0" fontId="10" fillId="10" borderId="1">
      <alignment horizontal="centerContinuous" vertical="center" wrapText="1"/>
    </xf>
    <xf numFmtId="0" fontId="36" fillId="21" borderId="0">
      <alignment horizontal="centerContinuous" vertical="center" wrapText="1"/>
    </xf>
    <xf numFmtId="0" fontId="10" fillId="16" borderId="1">
      <alignment horizontal="center" vertical="center" wrapText="1"/>
    </xf>
    <xf numFmtId="0" fontId="28" fillId="0" borderId="1" applyNumberFormat="0">
      <alignment horizontal="left" vertical="center" wrapText="1"/>
    </xf>
    <xf numFmtId="0" fontId="14" fillId="17" borderId="0" applyNumberFormat="0" applyAlignment="0">
      <alignment horizontal="center" vertical="center"/>
    </xf>
    <xf numFmtId="0" fontId="10" fillId="17" borderId="22">
      <alignment horizontal="left" wrapText="1"/>
    </xf>
    <xf numFmtId="0" fontId="11" fillId="0" borderId="23" applyNumberFormat="0"/>
    <xf numFmtId="0" fontId="32" fillId="5" borderId="24" applyNumberFormat="0" applyAlignment="0" applyProtection="0"/>
    <xf numFmtId="0" fontId="33" fillId="19" borderId="25"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 fillId="20" borderId="0" applyNumberFormat="0" applyBorder="0" applyAlignment="0" applyProtection="0"/>
    <xf numFmtId="0" fontId="33" fillId="21" borderId="0">
      <alignment horizontal="centerContinuous"/>
    </xf>
    <xf numFmtId="0" fontId="24" fillId="10" borderId="1">
      <alignment horizontal="centerContinuous" vertical="center" wrapText="1"/>
    </xf>
    <xf numFmtId="0" fontId="10" fillId="22" borderId="1">
      <alignment horizontal="center" vertical="center" wrapText="1"/>
    </xf>
    <xf numFmtId="0" fontId="10" fillId="22" borderId="1">
      <alignment horizontal="center" vertical="center" wrapText="1"/>
    </xf>
    <xf numFmtId="44" fontId="1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0" fontId="55" fillId="5" borderId="5" applyNumberFormat="0" applyAlignment="0" applyProtection="0"/>
  </cellStyleXfs>
  <cellXfs count="386">
    <xf numFmtId="0" fontId="0" fillId="0" borderId="0" xfId="0"/>
    <xf numFmtId="0" fontId="5" fillId="0" borderId="0" xfId="0" applyFont="1" applyAlignment="1">
      <alignment horizontal="left" wrapText="1" inden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xf numFmtId="0" fontId="0" fillId="2" borderId="1" xfId="0" applyFill="1" applyBorder="1"/>
    <xf numFmtId="0" fontId="0" fillId="0" borderId="0" xfId="0" applyAlignment="1">
      <alignment wrapText="1"/>
    </xf>
    <xf numFmtId="0" fontId="0" fillId="7" borderId="1" xfId="0" applyFill="1" applyBorder="1"/>
    <xf numFmtId="0" fontId="0" fillId="7" borderId="4" xfId="0" applyFill="1" applyBorder="1"/>
    <xf numFmtId="3" fontId="0" fillId="7" borderId="1" xfId="0" applyNumberFormat="1" applyFill="1" applyBorder="1"/>
    <xf numFmtId="0" fontId="0" fillId="0" borderId="1" xfId="0" applyBorder="1" applyAlignment="1">
      <alignment horizontal="center" vertical="center"/>
    </xf>
    <xf numFmtId="0" fontId="13"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7" fillId="2" borderId="1" xfId="4" applyFont="1" applyFill="1" applyBorder="1" applyAlignment="1">
      <alignment horizontal="center" vertical="center"/>
    </xf>
    <xf numFmtId="0" fontId="7"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9" fillId="0" borderId="0" xfId="0" applyFont="1" applyAlignment="1">
      <alignment horizontal="left" vertical="center" wrapText="1" indent="1"/>
    </xf>
    <xf numFmtId="165" fontId="0" fillId="0" borderId="0" xfId="0" applyNumberFormat="1"/>
    <xf numFmtId="0" fontId="5"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0" fontId="0" fillId="0" borderId="0" xfId="0" applyAlignment="1">
      <alignment horizontal="left"/>
    </xf>
    <xf numFmtId="0" fontId="16" fillId="0" borderId="0" xfId="0" applyFont="1" applyAlignment="1">
      <alignment horizontal="left" wrapText="1"/>
    </xf>
    <xf numFmtId="0" fontId="24" fillId="16" borderId="1" xfId="17" applyAlignment="1"/>
    <xf numFmtId="0" fontId="10" fillId="17" borderId="22" xfId="26">
      <alignment horizontal="left" wrapText="1"/>
    </xf>
    <xf numFmtId="0" fontId="10" fillId="17" borderId="22" xfId="26" applyAlignment="1">
      <alignment horizontal="left"/>
    </xf>
    <xf numFmtId="0" fontId="11" fillId="0" borderId="23" xfId="27"/>
    <xf numFmtId="0" fontId="31" fillId="0" borderId="0" xfId="0" applyFont="1"/>
    <xf numFmtId="165" fontId="11"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1"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12" fillId="3" borderId="15" xfId="0" applyFont="1" applyFill="1" applyBorder="1" applyAlignment="1">
      <alignment wrapText="1"/>
    </xf>
    <xf numFmtId="0" fontId="12" fillId="3" borderId="10" xfId="0" applyFont="1" applyFill="1" applyBorder="1" applyAlignment="1">
      <alignment wrapText="1"/>
    </xf>
    <xf numFmtId="0" fontId="12" fillId="3" borderId="8" xfId="0" applyFont="1" applyFill="1" applyBorder="1" applyAlignment="1">
      <alignment wrapText="1"/>
    </xf>
    <xf numFmtId="2" fontId="12" fillId="3" borderId="10" xfId="0" applyNumberFormat="1" applyFont="1" applyFill="1" applyBorder="1" applyAlignment="1">
      <alignment wrapText="1"/>
    </xf>
    <xf numFmtId="0" fontId="12"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1" fillId="0" borderId="29" xfId="27" applyBorder="1"/>
    <xf numFmtId="9" fontId="0" fillId="0" borderId="1" xfId="0" applyNumberFormat="1" applyBorder="1"/>
    <xf numFmtId="4" fontId="0" fillId="0" borderId="0" xfId="0" applyNumberFormat="1"/>
    <xf numFmtId="0" fontId="0" fillId="24" borderId="9" xfId="0" applyFill="1" applyBorder="1"/>
    <xf numFmtId="0" fontId="0" fillId="24" borderId="2" xfId="0" applyFill="1" applyBorder="1"/>
    <xf numFmtId="3" fontId="0" fillId="24" borderId="2" xfId="0" applyNumberFormat="1" applyFill="1" applyBorder="1"/>
    <xf numFmtId="2" fontId="0" fillId="24" borderId="7" xfId="0" applyNumberFormat="1" applyFill="1" applyBorder="1"/>
    <xf numFmtId="2" fontId="0" fillId="24" borderId="2" xfId="0" applyNumberFormat="1" applyFill="1" applyBorder="1"/>
    <xf numFmtId="166" fontId="0" fillId="24" borderId="4" xfId="0" applyNumberFormat="1" applyFill="1" applyBorder="1"/>
    <xf numFmtId="0" fontId="0" fillId="24" borderId="11" xfId="0" applyFill="1" applyBorder="1"/>
    <xf numFmtId="0" fontId="0" fillId="24" borderId="1" xfId="0" applyFill="1" applyBorder="1"/>
    <xf numFmtId="0" fontId="0" fillId="25" borderId="9" xfId="0" applyFill="1" applyBorder="1"/>
    <xf numFmtId="0" fontId="0" fillId="25" borderId="2" xfId="0" applyFill="1" applyBorder="1"/>
    <xf numFmtId="3" fontId="0" fillId="25" borderId="2" xfId="0" applyNumberFormat="1" applyFill="1" applyBorder="1"/>
    <xf numFmtId="2" fontId="0" fillId="25" borderId="7" xfId="0" applyNumberFormat="1" applyFill="1" applyBorder="1"/>
    <xf numFmtId="2" fontId="0" fillId="25" borderId="2" xfId="0" applyNumberFormat="1" applyFill="1" applyBorder="1"/>
    <xf numFmtId="166" fontId="0" fillId="25" borderId="4" xfId="0" applyNumberFormat="1" applyFill="1" applyBorder="1"/>
    <xf numFmtId="0" fontId="0" fillId="25"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4" borderId="2" xfId="0" applyNumberFormat="1" applyFill="1" applyBorder="1"/>
    <xf numFmtId="169" fontId="0" fillId="25"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0" fillId="0" borderId="0" xfId="0" applyNumberFormat="1"/>
    <xf numFmtId="0" fontId="0" fillId="0" borderId="0" xfId="0" applyFill="1"/>
    <xf numFmtId="0" fontId="37" fillId="0" borderId="0" xfId="0" applyFont="1" applyAlignment="1">
      <alignment vertical="center"/>
    </xf>
    <xf numFmtId="0" fontId="38" fillId="0" borderId="0" xfId="0" applyFont="1"/>
    <xf numFmtId="0" fontId="15" fillId="0" borderId="30" xfId="0" applyFont="1" applyBorder="1" applyAlignment="1">
      <alignment vertical="center" wrapText="1"/>
    </xf>
    <xf numFmtId="0" fontId="15" fillId="0" borderId="31" xfId="0" applyFont="1"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2" fontId="0" fillId="0" borderId="33" xfId="0" applyNumberFormat="1" applyBorder="1" applyAlignment="1">
      <alignment vertical="center" wrapText="1"/>
    </xf>
    <xf numFmtId="0" fontId="12" fillId="26" borderId="10" xfId="0" applyFont="1" applyFill="1" applyBorder="1" applyAlignment="1">
      <alignment horizontal="centerContinuous"/>
    </xf>
    <xf numFmtId="0" fontId="12" fillId="26" borderId="1" xfId="0" applyFont="1" applyFill="1" applyBorder="1" applyAlignment="1">
      <alignment horizontal="centerContinuous"/>
    </xf>
    <xf numFmtId="0" fontId="0" fillId="26" borderId="1" xfId="0" applyFill="1" applyBorder="1" applyAlignment="1">
      <alignment horizontal="centerContinuous"/>
    </xf>
    <xf numFmtId="0" fontId="12" fillId="26" borderId="1" xfId="0" applyFont="1" applyFill="1" applyBorder="1"/>
    <xf numFmtId="0" fontId="12" fillId="26" borderId="12" xfId="0" applyFont="1" applyFill="1" applyBorder="1"/>
    <xf numFmtId="0" fontId="0" fillId="0" borderId="1" xfId="0" applyBorder="1" applyAlignment="1">
      <alignment vertical="center"/>
    </xf>
    <xf numFmtId="0" fontId="38" fillId="0" borderId="1" xfId="0" applyFont="1" applyBorder="1"/>
    <xf numFmtId="166" fontId="0" fillId="0" borderId="1" xfId="0" applyNumberFormat="1" applyBorder="1"/>
    <xf numFmtId="164" fontId="0" fillId="0" borderId="0" xfId="0" applyNumberFormat="1" applyFill="1"/>
    <xf numFmtId="166" fontId="0" fillId="0" borderId="0" xfId="0" applyNumberFormat="1"/>
    <xf numFmtId="0" fontId="15" fillId="0" borderId="0" xfId="0" applyFont="1" applyBorder="1" applyAlignment="1">
      <alignment vertical="center" wrapText="1"/>
    </xf>
    <xf numFmtId="0" fontId="0" fillId="0" borderId="0" xfId="0" applyBorder="1" applyAlignment="1">
      <alignment vertical="center" wrapText="1"/>
    </xf>
    <xf numFmtId="2" fontId="0" fillId="0" borderId="0" xfId="0" applyNumberFormat="1" applyBorder="1" applyAlignment="1">
      <alignment vertical="center" wrapText="1"/>
    </xf>
    <xf numFmtId="0" fontId="40" fillId="0" borderId="0" xfId="0" applyFont="1"/>
    <xf numFmtId="169" fontId="0" fillId="0" borderId="0" xfId="0" applyNumberFormat="1"/>
    <xf numFmtId="0" fontId="0" fillId="0" borderId="0" xfId="0"/>
    <xf numFmtId="170" fontId="0" fillId="4" borderId="1" xfId="4" applyNumberFormat="1" applyFont="1" applyFill="1" applyBorder="1" applyAlignment="1">
      <alignment horizontal="center" vertical="center"/>
    </xf>
    <xf numFmtId="169" fontId="11" fillId="0" borderId="23" xfId="27" applyNumberFormat="1"/>
    <xf numFmtId="171" fontId="0" fillId="0" borderId="0" xfId="0" applyNumberFormat="1"/>
    <xf numFmtId="172" fontId="38" fillId="0" borderId="0" xfId="0" applyNumberFormat="1" applyFont="1"/>
    <xf numFmtId="2" fontId="38" fillId="0" borderId="0" xfId="0" applyNumberFormat="1" applyFont="1"/>
    <xf numFmtId="173" fontId="38" fillId="0" borderId="0" xfId="39" applyNumberFormat="1" applyFont="1"/>
    <xf numFmtId="173" fontId="0" fillId="0" borderId="0" xfId="39" applyNumberFormat="1" applyFont="1"/>
    <xf numFmtId="0" fontId="25" fillId="18" borderId="1" xfId="2" applyAlignment="1">
      <alignment horizontal="left" vertical="center" wrapText="1"/>
    </xf>
    <xf numFmtId="3" fontId="0" fillId="0" borderId="0" xfId="0" applyNumberFormat="1" applyBorder="1" applyAlignment="1">
      <alignment vertical="center" wrapText="1"/>
    </xf>
    <xf numFmtId="3" fontId="0" fillId="0" borderId="1" xfId="0" applyNumberFormat="1" applyBorder="1" applyAlignment="1">
      <alignment vertical="center" wrapText="1"/>
    </xf>
    <xf numFmtId="0" fontId="15" fillId="0" borderId="34" xfId="0" applyFont="1" applyBorder="1" applyAlignment="1">
      <alignment vertical="center" wrapText="1"/>
    </xf>
    <xf numFmtId="0" fontId="15" fillId="0" borderId="44" xfId="0" applyFont="1" applyBorder="1" applyAlignment="1">
      <alignment vertical="center" wrapText="1"/>
    </xf>
    <xf numFmtId="0" fontId="0" fillId="0" borderId="39" xfId="0" applyBorder="1" applyAlignment="1">
      <alignment horizontal="left" vertical="center"/>
    </xf>
    <xf numFmtId="0" fontId="42" fillId="0" borderId="39" xfId="0" applyFont="1" applyBorder="1" applyAlignment="1">
      <alignment vertical="center"/>
    </xf>
    <xf numFmtId="0" fontId="42" fillId="0" borderId="41" xfId="0" applyFont="1" applyBorder="1" applyAlignment="1">
      <alignment vertical="center"/>
    </xf>
    <xf numFmtId="3" fontId="0" fillId="0" borderId="42" xfId="0" applyNumberFormat="1" applyBorder="1" applyAlignment="1">
      <alignment vertical="center" wrapText="1"/>
    </xf>
    <xf numFmtId="0" fontId="15" fillId="0" borderId="35" xfId="0" applyFont="1" applyBorder="1" applyAlignment="1">
      <alignment vertical="center" wrapText="1"/>
    </xf>
    <xf numFmtId="0" fontId="0" fillId="0" borderId="40" xfId="0" applyBorder="1" applyAlignment="1">
      <alignment vertical="center" wrapText="1"/>
    </xf>
    <xf numFmtId="2" fontId="0" fillId="0" borderId="40" xfId="0" applyNumberFormat="1" applyBorder="1" applyAlignment="1">
      <alignment vertical="center" wrapText="1"/>
    </xf>
    <xf numFmtId="1" fontId="0" fillId="0" borderId="1" xfId="0" applyNumberFormat="1" applyBorder="1" applyAlignment="1">
      <alignment vertical="center" wrapText="1"/>
    </xf>
    <xf numFmtId="1" fontId="0" fillId="0" borderId="42" xfId="0" applyNumberFormat="1" applyBorder="1" applyAlignment="1">
      <alignment vertical="center" wrapText="1"/>
    </xf>
    <xf numFmtId="2" fontId="0" fillId="0" borderId="43" xfId="0" applyNumberFormat="1" applyBorder="1" applyAlignment="1">
      <alignment vertical="center" wrapText="1"/>
    </xf>
    <xf numFmtId="0" fontId="0" fillId="0" borderId="36" xfId="0" applyBorder="1" applyAlignment="1">
      <alignment horizontal="left" vertical="center"/>
    </xf>
    <xf numFmtId="3" fontId="0" fillId="0" borderId="37" xfId="0" applyNumberFormat="1" applyBorder="1" applyAlignment="1">
      <alignment vertical="center" wrapText="1"/>
    </xf>
    <xf numFmtId="1" fontId="0" fillId="0" borderId="37" xfId="0" applyNumberFormat="1" applyBorder="1" applyAlignment="1">
      <alignment vertical="center" wrapText="1"/>
    </xf>
    <xf numFmtId="2" fontId="0" fillId="0" borderId="38" xfId="0" applyNumberFormat="1" applyBorder="1" applyAlignment="1">
      <alignment vertical="center" wrapText="1"/>
    </xf>
    <xf numFmtId="1" fontId="38" fillId="0" borderId="0" xfId="0" applyNumberFormat="1" applyFont="1"/>
    <xf numFmtId="0" fontId="0" fillId="0" borderId="0" xfId="0" applyNumberFormat="1" applyFill="1"/>
    <xf numFmtId="0" fontId="5" fillId="0" borderId="0" xfId="0" applyFont="1" applyAlignment="1">
      <alignment horizontal="left"/>
    </xf>
    <xf numFmtId="0" fontId="5" fillId="0" borderId="0" xfId="0" applyFont="1" applyAlignment="1">
      <alignment horizontal="left" vertical="center"/>
    </xf>
    <xf numFmtId="0" fontId="5" fillId="0" borderId="14" xfId="0" applyFont="1" applyBorder="1" applyAlignment="1">
      <alignment horizontal="left" wrapText="1"/>
    </xf>
    <xf numFmtId="0" fontId="5" fillId="0" borderId="0" xfId="0" applyFont="1" applyBorder="1" applyAlignment="1">
      <alignment horizontal="left" vertical="center" wrapText="1"/>
    </xf>
    <xf numFmtId="0" fontId="5" fillId="0" borderId="0" xfId="0" applyFont="1" applyAlignment="1">
      <alignment horizontal="left" vertical="top"/>
    </xf>
    <xf numFmtId="0" fontId="5" fillId="29" borderId="1" xfId="18" applyFont="1" applyFill="1" applyAlignment="1">
      <alignment horizontal="left" vertical="center" wrapText="1"/>
    </xf>
    <xf numFmtId="0" fontId="46" fillId="29" borderId="1" xfId="0" applyFont="1" applyFill="1" applyBorder="1" applyAlignment="1">
      <alignment horizontal="left" vertical="center" wrapText="1"/>
    </xf>
    <xf numFmtId="0" fontId="48" fillId="27" borderId="1" xfId="0" applyFont="1" applyFill="1" applyBorder="1" applyAlignment="1">
      <alignment horizontal="left" vertical="center" wrapText="1"/>
    </xf>
    <xf numFmtId="0" fontId="48" fillId="28" borderId="1" xfId="0" applyFont="1" applyFill="1" applyBorder="1" applyAlignment="1">
      <alignment horizontal="left" vertical="center" wrapText="1"/>
    </xf>
    <xf numFmtId="0" fontId="36" fillId="0" borderId="0" xfId="22" applyFill="1" applyAlignment="1">
      <alignment horizontal="left" vertical="center" wrapText="1"/>
    </xf>
    <xf numFmtId="0" fontId="5" fillId="0" borderId="0" xfId="0" applyFont="1"/>
    <xf numFmtId="0" fontId="46" fillId="0" borderId="0" xfId="0" applyFont="1"/>
    <xf numFmtId="0" fontId="44" fillId="0" borderId="0" xfId="22" applyFont="1" applyFill="1" applyAlignment="1">
      <alignment vertical="center" wrapText="1"/>
    </xf>
    <xf numFmtId="0" fontId="5" fillId="0" borderId="0" xfId="0" applyFont="1" applyAlignment="1">
      <alignment vertical="center"/>
    </xf>
    <xf numFmtId="0" fontId="53" fillId="0" borderId="0" xfId="0" applyFont="1"/>
    <xf numFmtId="0" fontId="5" fillId="0" borderId="0" xfId="0" applyFont="1" applyAlignment="1">
      <alignment vertical="center" wrapText="1"/>
    </xf>
    <xf numFmtId="0" fontId="48" fillId="27" borderId="15" xfId="23" applyFont="1" applyFill="1" applyBorder="1">
      <alignment horizontal="center" vertical="center" wrapText="1"/>
    </xf>
    <xf numFmtId="0" fontId="48" fillId="27" borderId="10" xfId="17" applyFont="1" applyFill="1" applyBorder="1" applyAlignment="1" applyProtection="1">
      <alignment horizontal="center" vertical="center" wrapText="1"/>
    </xf>
    <xf numFmtId="0" fontId="48" fillId="27" borderId="8" xfId="23" applyFont="1" applyFill="1" applyBorder="1">
      <alignment horizontal="center" vertical="center" wrapText="1"/>
    </xf>
    <xf numFmtId="0" fontId="48" fillId="27" borderId="10" xfId="23" applyFont="1" applyFill="1" applyBorder="1">
      <alignment horizontal="center" vertical="center" wrapText="1"/>
    </xf>
    <xf numFmtId="0" fontId="5" fillId="0" borderId="0" xfId="0" applyFont="1" applyAlignment="1">
      <alignment horizontal="center" vertical="center"/>
    </xf>
    <xf numFmtId="0" fontId="5" fillId="18" borderId="4" xfId="18" applyFont="1" applyBorder="1" applyAlignment="1">
      <alignment horizontal="center" vertical="center" wrapText="1"/>
    </xf>
    <xf numFmtId="0" fontId="5" fillId="18" borderId="1" xfId="18" applyFont="1" applyAlignment="1">
      <alignment horizontal="center" vertical="center" wrapText="1"/>
    </xf>
    <xf numFmtId="164" fontId="5" fillId="18" borderId="1" xfId="18" applyNumberFormat="1" applyFont="1" applyAlignment="1">
      <alignment horizontal="center" vertical="center" wrapText="1"/>
    </xf>
    <xf numFmtId="0" fontId="5" fillId="29" borderId="4" xfId="18" applyFont="1" applyFill="1" applyBorder="1" applyAlignment="1">
      <alignment horizontal="center" vertical="center" wrapText="1"/>
    </xf>
    <xf numFmtId="0" fontId="5" fillId="29" borderId="1" xfId="18" applyFont="1" applyFill="1" applyAlignment="1">
      <alignment horizontal="center" vertical="center" wrapText="1"/>
    </xf>
    <xf numFmtId="164" fontId="5" fillId="29" borderId="1" xfId="18" applyNumberFormat="1" applyFont="1" applyFill="1" applyAlignment="1">
      <alignment horizontal="center" vertical="center" wrapText="1"/>
    </xf>
    <xf numFmtId="0" fontId="48" fillId="30" borderId="1" xfId="21" applyFont="1" applyFill="1">
      <alignment horizontal="centerContinuous" vertical="center" wrapText="1"/>
    </xf>
    <xf numFmtId="0" fontId="48" fillId="30" borderId="10" xfId="21" applyFont="1" applyFill="1" applyBorder="1">
      <alignment horizontal="centerContinuous" vertical="center" wrapText="1"/>
    </xf>
    <xf numFmtId="0" fontId="48" fillId="27" borderId="1" xfId="36" applyFont="1" applyFill="1">
      <alignment horizontal="center" vertical="center" wrapText="1"/>
    </xf>
    <xf numFmtId="164" fontId="48" fillId="28" borderId="4" xfId="18" applyNumberFormat="1" applyFont="1" applyFill="1" applyBorder="1" applyAlignment="1">
      <alignment horizontal="center" vertical="center" wrapText="1"/>
    </xf>
    <xf numFmtId="167" fontId="48" fillId="28" borderId="1" xfId="18" applyNumberFormat="1" applyFont="1" applyFill="1" applyAlignment="1">
      <alignment horizontal="center" vertical="center" wrapText="1"/>
    </xf>
    <xf numFmtId="168" fontId="48" fillId="28" borderId="1" xfId="18" applyNumberFormat="1" applyFont="1" applyFill="1" applyAlignment="1">
      <alignment horizontal="center" vertical="center" wrapText="1"/>
    </xf>
    <xf numFmtId="164" fontId="48" fillId="28" borderId="1" xfId="18" applyNumberFormat="1" applyFont="1" applyFill="1" applyAlignment="1">
      <alignment horizontal="center" vertical="center" wrapText="1"/>
    </xf>
    <xf numFmtId="0" fontId="44" fillId="27" borderId="0" xfId="22" applyFont="1" applyFill="1" applyAlignment="1">
      <alignment horizontal="left" vertical="center" wrapText="1"/>
    </xf>
    <xf numFmtId="0" fontId="5" fillId="0" borderId="0" xfId="0" applyFont="1" applyAlignment="1">
      <alignment horizontal="left" wrapText="1"/>
    </xf>
    <xf numFmtId="0" fontId="5" fillId="0" borderId="0" xfId="24" applyFont="1" applyBorder="1" applyAlignment="1">
      <alignment horizontal="left" vertical="center" wrapText="1"/>
    </xf>
    <xf numFmtId="0" fontId="48" fillId="28" borderId="1" xfId="19" applyFont="1" applyFill="1" applyAlignment="1">
      <alignment horizontal="left" vertical="center" wrapText="1"/>
    </xf>
    <xf numFmtId="0" fontId="46" fillId="0" borderId="0" xfId="0" applyFont="1" applyAlignment="1">
      <alignment horizontal="left"/>
    </xf>
    <xf numFmtId="164" fontId="5" fillId="0" borderId="0" xfId="0" applyNumberFormat="1" applyFont="1" applyAlignment="1">
      <alignment horizontal="left"/>
    </xf>
    <xf numFmtId="165" fontId="5" fillId="0" borderId="0" xfId="0" applyNumberFormat="1" applyFont="1" applyAlignment="1">
      <alignment horizontal="left"/>
    </xf>
    <xf numFmtId="0" fontId="46" fillId="29" borderId="1" xfId="2" applyFont="1" applyFill="1" applyAlignment="1">
      <alignment horizontal="left" vertical="center" wrapText="1"/>
    </xf>
    <xf numFmtId="164" fontId="46" fillId="18" borderId="4" xfId="2" applyNumberFormat="1" applyFont="1" applyBorder="1" applyAlignment="1">
      <alignment horizontal="left" vertical="center" wrapText="1"/>
    </xf>
    <xf numFmtId="0" fontId="46" fillId="18" borderId="9" xfId="0" applyFont="1" applyFill="1" applyBorder="1" applyAlignment="1">
      <alignment horizontal="left" vertical="center" wrapText="1"/>
    </xf>
    <xf numFmtId="164" fontId="46" fillId="18" borderId="4" xfId="2" applyNumberFormat="1" applyFont="1" applyBorder="1" applyAlignment="1" applyProtection="1">
      <alignment horizontal="left" vertical="center" wrapText="1"/>
      <protection hidden="1"/>
    </xf>
    <xf numFmtId="0" fontId="5" fillId="0" borderId="1" xfId="3" applyFont="1" applyFill="1" applyAlignment="1">
      <alignment horizontal="left" vertical="center" wrapText="1"/>
      <protection locked="0"/>
    </xf>
    <xf numFmtId="0" fontId="27" fillId="0" borderId="1" xfId="3" applyFill="1" applyAlignment="1">
      <alignment horizontal="left" vertical="center" wrapText="1"/>
      <protection locked="0"/>
    </xf>
    <xf numFmtId="14" fontId="27" fillId="0" borderId="1" xfId="3" applyNumberFormat="1" applyFill="1" applyAlignment="1">
      <alignment horizontal="left" vertical="center" wrapText="1"/>
      <protection locked="0"/>
    </xf>
    <xf numFmtId="3" fontId="27" fillId="0" borderId="1" xfId="3" applyNumberFormat="1" applyFill="1" applyAlignment="1">
      <alignment horizontal="left" vertical="center" wrapText="1"/>
      <protection locked="0"/>
    </xf>
    <xf numFmtId="164" fontId="27" fillId="0" borderId="1" xfId="3" applyNumberFormat="1" applyFill="1" applyAlignment="1">
      <alignment horizontal="left" vertical="center" wrapText="1"/>
      <protection locked="0"/>
    </xf>
    <xf numFmtId="0" fontId="47" fillId="0" borderId="3" xfId="3" applyFont="1" applyFill="1" applyBorder="1">
      <alignment horizontal="left" vertical="center" wrapText="1"/>
      <protection locked="0"/>
    </xf>
    <xf numFmtId="0" fontId="47" fillId="0" borderId="1" xfId="3" applyFont="1" applyFill="1" applyAlignment="1">
      <alignment horizontal="center" vertical="center" wrapText="1"/>
      <protection locked="0"/>
    </xf>
    <xf numFmtId="0" fontId="47" fillId="0" borderId="1" xfId="3" applyFont="1" applyFill="1" applyBorder="1" applyAlignment="1" applyProtection="1">
      <alignment horizontal="center" vertical="center" wrapText="1"/>
      <protection locked="0"/>
    </xf>
    <xf numFmtId="167" fontId="47" fillId="0" borderId="1" xfId="3" applyNumberFormat="1" applyFont="1" applyFill="1" applyAlignment="1">
      <alignment horizontal="center" vertical="center" wrapText="1"/>
      <protection locked="0"/>
    </xf>
    <xf numFmtId="0" fontId="47" fillId="0" borderId="1" xfId="3" applyNumberFormat="1" applyFont="1" applyFill="1" applyAlignment="1">
      <alignment horizontal="center" vertical="center" wrapText="1"/>
      <protection locked="0"/>
    </xf>
    <xf numFmtId="164" fontId="47" fillId="0" borderId="1" xfId="3" applyNumberFormat="1" applyFont="1" applyFill="1" applyAlignment="1">
      <alignment horizontal="center" vertical="center" wrapText="1"/>
      <protection locked="0"/>
    </xf>
    <xf numFmtId="164" fontId="55" fillId="5" borderId="5" xfId="40" applyNumberFormat="1" applyAlignment="1">
      <alignment horizontal="center" vertical="center" wrapText="1"/>
    </xf>
    <xf numFmtId="167" fontId="55" fillId="5" borderId="5" xfId="40" applyNumberFormat="1" applyAlignment="1">
      <alignment horizontal="center" vertical="center" wrapText="1"/>
    </xf>
    <xf numFmtId="168" fontId="55" fillId="5" borderId="5" xfId="40" applyNumberFormat="1" applyAlignment="1">
      <alignment horizontal="center" vertical="center" wrapText="1"/>
    </xf>
    <xf numFmtId="0" fontId="47" fillId="0" borderId="3" xfId="3" applyFont="1" applyFill="1" applyBorder="1" applyProtection="1">
      <alignment horizontal="left" vertical="center" wrapText="1"/>
      <protection locked="0"/>
    </xf>
    <xf numFmtId="0" fontId="47" fillId="0" borderId="1" xfId="3" applyFont="1" applyFill="1" applyAlignment="1" applyProtection="1">
      <alignment horizontal="center" vertical="center" wrapText="1"/>
      <protection locked="0"/>
    </xf>
    <xf numFmtId="0" fontId="5" fillId="31" borderId="1" xfId="18" applyFont="1" applyFill="1" applyAlignment="1">
      <alignment horizontal="center" vertical="center" wrapText="1"/>
    </xf>
    <xf numFmtId="3" fontId="47" fillId="0" borderId="1" xfId="3" applyNumberFormat="1" applyFont="1" applyFill="1" applyAlignment="1">
      <alignment horizontal="center" vertical="center" wrapText="1"/>
      <protection locked="0"/>
    </xf>
    <xf numFmtId="4" fontId="47" fillId="0" borderId="1" xfId="3" applyNumberFormat="1" applyFont="1" applyFill="1">
      <alignment horizontal="left" vertical="center" wrapText="1"/>
      <protection locked="0"/>
    </xf>
    <xf numFmtId="164" fontId="5" fillId="31" borderId="1" xfId="18" applyNumberFormat="1" applyFont="1" applyFill="1" applyAlignment="1">
      <alignment horizontal="center" vertical="center" wrapText="1"/>
    </xf>
    <xf numFmtId="167" fontId="16" fillId="0" borderId="1" xfId="3" applyNumberFormat="1" applyFont="1" applyFill="1" applyAlignment="1" applyProtection="1">
      <alignment horizontal="center" vertical="center" wrapText="1"/>
      <protection locked="0"/>
    </xf>
    <xf numFmtId="0" fontId="16" fillId="0" borderId="1" xfId="3" applyNumberFormat="1" applyFont="1" applyFill="1" applyAlignment="1" applyProtection="1">
      <alignment horizontal="center" vertical="center" wrapText="1"/>
      <protection locked="0"/>
    </xf>
    <xf numFmtId="167" fontId="16" fillId="0" borderId="1" xfId="3" applyNumberFormat="1" applyFont="1" applyFill="1" applyProtection="1">
      <alignment horizontal="left" vertical="center" wrapText="1"/>
      <protection locked="0"/>
    </xf>
    <xf numFmtId="164" fontId="16" fillId="0" borderId="1" xfId="3" applyNumberFormat="1" applyFont="1" applyFill="1" applyAlignment="1" applyProtection="1">
      <alignment horizontal="center" vertical="center" wrapText="1"/>
      <protection locked="0"/>
    </xf>
    <xf numFmtId="164" fontId="5" fillId="31" borderId="1" xfId="24" applyNumberFormat="1" applyFont="1" applyFill="1" applyAlignment="1" applyProtection="1">
      <alignment horizontal="left" vertical="center" wrapText="1"/>
      <protection hidden="1"/>
    </xf>
    <xf numFmtId="167" fontId="5" fillId="31" borderId="1" xfId="24" applyNumberFormat="1" applyFont="1" applyFill="1" applyAlignment="1" applyProtection="1">
      <alignment horizontal="left" vertical="center" wrapText="1"/>
      <protection hidden="1"/>
    </xf>
    <xf numFmtId="168" fontId="5" fillId="31" borderId="3" xfId="24" applyNumberFormat="1" applyFont="1" applyFill="1" applyBorder="1" applyAlignment="1" applyProtection="1">
      <alignment horizontal="left" vertical="center" wrapText="1"/>
      <protection hidden="1"/>
    </xf>
    <xf numFmtId="167" fontId="46" fillId="31" borderId="1" xfId="0" applyNumberFormat="1" applyFont="1" applyFill="1" applyBorder="1" applyAlignment="1" applyProtection="1">
      <alignment horizontal="left" vertical="center" wrapText="1"/>
      <protection hidden="1"/>
    </xf>
    <xf numFmtId="168" fontId="46" fillId="31" borderId="3" xfId="0" applyNumberFormat="1" applyFont="1" applyFill="1" applyBorder="1" applyAlignment="1" applyProtection="1">
      <alignment horizontal="left" vertical="center" wrapText="1"/>
      <protection hidden="1"/>
    </xf>
    <xf numFmtId="164" fontId="5" fillId="31" borderId="1" xfId="37" applyNumberFormat="1" applyFont="1" applyFill="1" applyBorder="1" applyAlignment="1" applyProtection="1">
      <alignment horizontal="left" vertical="center" wrapText="1"/>
      <protection hidden="1"/>
    </xf>
    <xf numFmtId="167" fontId="5" fillId="31" borderId="3" xfId="24" applyNumberFormat="1" applyFont="1" applyFill="1" applyBorder="1" applyAlignment="1" applyProtection="1">
      <alignment horizontal="left" vertical="center" wrapText="1"/>
      <protection hidden="1"/>
    </xf>
    <xf numFmtId="164" fontId="46" fillId="31" borderId="1" xfId="0" applyNumberFormat="1" applyFont="1" applyFill="1" applyBorder="1" applyAlignment="1" applyProtection="1">
      <alignment horizontal="left" vertical="center" wrapText="1"/>
      <protection hidden="1"/>
    </xf>
    <xf numFmtId="167" fontId="46" fillId="31" borderId="3" xfId="0" applyNumberFormat="1" applyFont="1" applyFill="1" applyBorder="1" applyAlignment="1" applyProtection="1">
      <alignment horizontal="left" vertical="center" wrapText="1"/>
      <protection hidden="1"/>
    </xf>
    <xf numFmtId="3" fontId="5" fillId="31" borderId="1" xfId="24" applyNumberFormat="1" applyFont="1" applyFill="1" applyAlignment="1" applyProtection="1">
      <alignment horizontal="left" vertical="center" wrapText="1"/>
      <protection hidden="1"/>
    </xf>
    <xf numFmtId="14" fontId="47" fillId="0" borderId="1" xfId="3" applyNumberFormat="1" applyFont="1" applyFill="1" applyAlignment="1">
      <alignment horizontal="left" vertical="center" wrapText="1"/>
      <protection locked="0"/>
    </xf>
    <xf numFmtId="0" fontId="5" fillId="0" borderId="0" xfId="0" applyFont="1"/>
    <xf numFmtId="9" fontId="38" fillId="0" borderId="0" xfId="4" applyFont="1"/>
    <xf numFmtId="0" fontId="37" fillId="0" borderId="0" xfId="0" applyFont="1" applyBorder="1" applyAlignment="1">
      <alignment vertical="center"/>
    </xf>
    <xf numFmtId="0" fontId="0" fillId="0" borderId="0" xfId="0" applyBorder="1"/>
    <xf numFmtId="0" fontId="37" fillId="0" borderId="0" xfId="0" applyFont="1" applyBorder="1" applyAlignment="1">
      <alignment vertical="center" wrapText="1"/>
    </xf>
    <xf numFmtId="0" fontId="37" fillId="0" borderId="0" xfId="0" applyFont="1" applyBorder="1" applyAlignment="1">
      <alignment horizontal="center" vertical="center" wrapText="1"/>
    </xf>
    <xf numFmtId="0" fontId="0" fillId="0" borderId="0" xfId="0" applyBorder="1" applyAlignment="1">
      <alignment vertical="center"/>
    </xf>
    <xf numFmtId="0" fontId="38" fillId="0" borderId="0" xfId="0" applyFont="1" applyBorder="1"/>
    <xf numFmtId="0" fontId="15" fillId="0" borderId="0" xfId="0" applyFont="1" applyBorder="1" applyAlignment="1">
      <alignmen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0" fillId="0" borderId="0" xfId="0" applyBorder="1" applyAlignment="1">
      <alignment horizontal="center" vertical="center"/>
    </xf>
    <xf numFmtId="0" fontId="40" fillId="0" borderId="0" xfId="0" applyFont="1" applyBorder="1"/>
    <xf numFmtId="166" fontId="40" fillId="0" borderId="0" xfId="0" applyNumberFormat="1" applyFont="1" applyBorder="1"/>
    <xf numFmtId="169" fontId="40" fillId="0" borderId="0" xfId="0" applyNumberFormat="1" applyFont="1" applyBorder="1"/>
    <xf numFmtId="169" fontId="38" fillId="0" borderId="0" xfId="0" applyNumberFormat="1" applyFont="1" applyBorder="1"/>
    <xf numFmtId="0" fontId="0" fillId="0" borderId="1" xfId="0" applyFill="1" applyBorder="1" applyAlignment="1">
      <alignment vertical="center"/>
    </xf>
    <xf numFmtId="0" fontId="38" fillId="0" borderId="1" xfId="0" applyFont="1" applyFill="1" applyBorder="1"/>
    <xf numFmtId="166" fontId="0" fillId="0" borderId="1" xfId="0" applyNumberFormat="1" applyFill="1" applyBorder="1" applyAlignment="1">
      <alignment vertical="center"/>
    </xf>
    <xf numFmtId="0" fontId="0" fillId="0" borderId="1" xfId="0" applyFill="1" applyBorder="1"/>
    <xf numFmtId="166" fontId="38" fillId="0" borderId="1" xfId="0" applyNumberFormat="1" applyFont="1" applyFill="1" applyBorder="1"/>
    <xf numFmtId="166" fontId="0" fillId="0" borderId="1" xfId="0" applyNumberFormat="1" applyFill="1" applyBorder="1"/>
    <xf numFmtId="0" fontId="0" fillId="29" borderId="1" xfId="0" applyFill="1" applyBorder="1"/>
    <xf numFmtId="167" fontId="27" fillId="0" borderId="4" xfId="3" applyNumberFormat="1" applyFill="1" applyBorder="1" applyAlignment="1">
      <alignment horizontal="center" vertical="center" wrapText="1"/>
      <protection locked="0"/>
    </xf>
    <xf numFmtId="167" fontId="27" fillId="0" borderId="1" xfId="3" applyNumberFormat="1" applyFill="1" applyAlignment="1">
      <alignment horizontal="center" vertical="center" wrapText="1"/>
      <protection locked="0"/>
    </xf>
    <xf numFmtId="0" fontId="48" fillId="27" borderId="46" xfId="17" applyFont="1" applyFill="1" applyBorder="1" applyAlignment="1">
      <alignment horizontal="center" vertical="center" wrapText="1"/>
    </xf>
    <xf numFmtId="0" fontId="48" fillId="30" borderId="46" xfId="21" applyNumberFormat="1" applyFont="1" applyFill="1" applyBorder="1" applyAlignment="1">
      <alignment horizontal="centerContinuous" vertical="center" wrapText="1"/>
    </xf>
    <xf numFmtId="43" fontId="0" fillId="0" borderId="0" xfId="39" applyFont="1"/>
    <xf numFmtId="43" fontId="0" fillId="0" borderId="0" xfId="39" applyFont="1" applyFill="1"/>
    <xf numFmtId="173" fontId="0" fillId="0" borderId="0" xfId="39" applyNumberFormat="1" applyFont="1" applyFill="1"/>
    <xf numFmtId="173" fontId="0" fillId="0" borderId="0" xfId="0" applyNumberFormat="1"/>
    <xf numFmtId="0" fontId="58" fillId="0" borderId="49" xfId="0" applyFont="1" applyBorder="1" applyAlignment="1">
      <alignment horizontal="left" vertical="top" wrapText="1"/>
    </xf>
    <xf numFmtId="0" fontId="58" fillId="0" borderId="50" xfId="0" applyFont="1" applyBorder="1" applyAlignment="1">
      <alignment horizontal="left" vertical="top" wrapText="1"/>
    </xf>
    <xf numFmtId="0" fontId="58" fillId="0" borderId="1" xfId="0" applyFont="1" applyBorder="1" applyAlignment="1">
      <alignment horizontal="left" vertical="top" wrapText="1"/>
    </xf>
    <xf numFmtId="0" fontId="57" fillId="0" borderId="49" xfId="0" applyFont="1" applyBorder="1" applyAlignment="1">
      <alignment horizontal="left" vertical="top" wrapText="1"/>
    </xf>
    <xf numFmtId="1" fontId="59" fillId="0" borderId="50" xfId="0" applyNumberFormat="1" applyFont="1" applyBorder="1" applyAlignment="1">
      <alignment horizontal="left" vertical="top" shrinkToFit="1"/>
    </xf>
    <xf numFmtId="172" fontId="59" fillId="0" borderId="1" xfId="0" applyNumberFormat="1" applyFont="1" applyBorder="1" applyAlignment="1">
      <alignment horizontal="left" vertical="top" shrinkToFit="1"/>
    </xf>
    <xf numFmtId="169" fontId="59" fillId="0" borderId="1" xfId="0" applyNumberFormat="1" applyFont="1" applyBorder="1" applyAlignment="1">
      <alignment horizontal="left" vertical="top" shrinkToFit="1"/>
    </xf>
    <xf numFmtId="0" fontId="60" fillId="0" borderId="0" xfId="0" applyFont="1" applyAlignment="1">
      <alignment vertical="center"/>
    </xf>
    <xf numFmtId="0" fontId="61" fillId="0" borderId="1" xfId="0" applyFont="1" applyBorder="1" applyAlignment="1">
      <alignment horizontal="left" vertical="top" wrapText="1"/>
    </xf>
    <xf numFmtId="0" fontId="57" fillId="0" borderId="50" xfId="0" applyFont="1" applyBorder="1" applyAlignment="1">
      <alignment horizontal="left" vertical="top" wrapText="1"/>
    </xf>
    <xf numFmtId="166" fontId="59" fillId="0" borderId="1" xfId="0" applyNumberFormat="1" applyFont="1" applyBorder="1" applyAlignment="1">
      <alignment horizontal="left" vertical="top" shrinkToFit="1"/>
    </xf>
    <xf numFmtId="166" fontId="62" fillId="0" borderId="1" xfId="0" applyNumberFormat="1" applyFont="1" applyBorder="1" applyAlignment="1">
      <alignment horizontal="left" wrapText="1"/>
    </xf>
    <xf numFmtId="0" fontId="63" fillId="0" borderId="50" xfId="0" applyFont="1" applyBorder="1" applyAlignment="1">
      <alignment horizontal="left" vertical="top" wrapText="1"/>
    </xf>
    <xf numFmtId="0" fontId="57" fillId="0" borderId="0" xfId="0" applyFont="1" applyAlignment="1">
      <alignment vertical="center" wrapText="1"/>
    </xf>
    <xf numFmtId="0" fontId="61" fillId="0" borderId="1" xfId="0" applyFont="1" applyBorder="1" applyAlignment="1">
      <alignment vertical="top" wrapText="1"/>
    </xf>
    <xf numFmtId="0" fontId="62" fillId="0" borderId="1" xfId="0" applyFont="1" applyBorder="1" applyAlignment="1">
      <alignment wrapText="1"/>
    </xf>
    <xf numFmtId="166" fontId="59" fillId="0" borderId="1" xfId="0" applyNumberFormat="1" applyFont="1" applyBorder="1" applyAlignment="1">
      <alignment horizontal="right" vertical="top" indent="1" shrinkToFit="1"/>
    </xf>
    <xf numFmtId="0" fontId="57" fillId="0" borderId="1" xfId="0" applyFont="1" applyBorder="1" applyAlignment="1">
      <alignment vertical="top" wrapText="1"/>
    </xf>
    <xf numFmtId="0" fontId="57" fillId="0" borderId="0" xfId="0" applyFont="1" applyAlignment="1">
      <alignment wrapText="1"/>
    </xf>
    <xf numFmtId="0" fontId="57" fillId="0" borderId="1" xfId="0" applyFont="1" applyBorder="1" applyAlignment="1">
      <alignment wrapText="1"/>
    </xf>
    <xf numFmtId="0" fontId="58" fillId="0" borderId="51" xfId="0" applyFont="1" applyBorder="1" applyAlignment="1">
      <alignment horizontal="left" vertical="top" wrapText="1"/>
    </xf>
    <xf numFmtId="0" fontId="62" fillId="0" borderId="0" xfId="0" applyFont="1" applyAlignment="1">
      <alignment horizontal="left" wrapText="1"/>
    </xf>
    <xf numFmtId="0" fontId="63" fillId="0" borderId="49" xfId="0" applyFont="1" applyBorder="1" applyAlignment="1">
      <alignment horizontal="left" vertical="top" wrapText="1"/>
    </xf>
    <xf numFmtId="2" fontId="59" fillId="0" borderId="50" xfId="0" applyNumberFormat="1" applyFont="1" applyBorder="1" applyAlignment="1">
      <alignment horizontal="center" vertical="top" shrinkToFit="1"/>
    </xf>
    <xf numFmtId="0" fontId="62" fillId="0" borderId="0" xfId="0" applyFont="1" applyAlignment="1">
      <alignment horizontal="left" vertical="center" wrapText="1"/>
    </xf>
    <xf numFmtId="1" fontId="59" fillId="0" borderId="49" xfId="0" applyNumberFormat="1" applyFont="1" applyBorder="1" applyAlignment="1">
      <alignment horizontal="left" vertical="top" shrinkToFit="1"/>
    </xf>
    <xf numFmtId="0" fontId="57" fillId="0" borderId="1" xfId="0" applyFont="1" applyBorder="1" applyAlignment="1">
      <alignment vertical="center" wrapText="1"/>
    </xf>
    <xf numFmtId="2" fontId="59" fillId="0" borderId="50" xfId="0" applyNumberFormat="1" applyFont="1" applyBorder="1" applyAlignment="1">
      <alignment horizontal="left" vertical="top" shrinkToFit="1"/>
    </xf>
    <xf numFmtId="167" fontId="0" fillId="0" borderId="0" xfId="39" applyNumberFormat="1" applyFont="1" applyFill="1"/>
    <xf numFmtId="0" fontId="62" fillId="0" borderId="0" xfId="0" applyFont="1" applyAlignment="1">
      <alignment horizontal="left" vertical="top" wrapText="1"/>
    </xf>
    <xf numFmtId="0" fontId="68" fillId="0" borderId="0" xfId="0" applyFont="1" applyAlignment="1">
      <alignment vertical="top" wrapText="1"/>
    </xf>
    <xf numFmtId="0" fontId="65" fillId="0" borderId="52" xfId="0" applyFont="1" applyBorder="1" applyAlignment="1">
      <alignment horizontal="center" vertical="top" wrapText="1"/>
    </xf>
    <xf numFmtId="169" fontId="59" fillId="0" borderId="50" xfId="0" applyNumberFormat="1" applyFont="1" applyBorder="1" applyAlignment="1">
      <alignment horizontal="left" vertical="top" shrinkToFit="1"/>
    </xf>
    <xf numFmtId="0" fontId="16" fillId="0" borderId="1" xfId="3" applyFont="1" applyFill="1" applyBorder="1" applyAlignment="1" applyProtection="1">
      <alignment horizontal="center" vertical="center" wrapText="1"/>
      <protection locked="0"/>
    </xf>
    <xf numFmtId="0" fontId="42" fillId="0" borderId="0" xfId="0" applyFont="1" applyFill="1" applyBorder="1" applyAlignment="1">
      <alignment vertical="center"/>
    </xf>
    <xf numFmtId="164" fontId="0" fillId="0" borderId="0" xfId="0" applyNumberFormat="1" applyFill="1" applyBorder="1"/>
    <xf numFmtId="0" fontId="5" fillId="0" borderId="0" xfId="0" applyFont="1" applyAlignment="1">
      <alignment horizontal="left" vertical="top" wrapText="1"/>
    </xf>
    <xf numFmtId="0" fontId="5" fillId="0" borderId="1" xfId="0" applyFont="1" applyBorder="1" applyAlignment="1">
      <alignment horizontal="left" vertical="center" wrapText="1"/>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45" fillId="27" borderId="7" xfId="17" applyFont="1" applyFill="1" applyBorder="1" applyAlignment="1">
      <alignment horizontal="left"/>
    </xf>
    <xf numFmtId="0" fontId="45" fillId="27" borderId="11" xfId="17" applyFont="1" applyFill="1" applyBorder="1" applyAlignment="1">
      <alignment horizontal="left"/>
    </xf>
    <xf numFmtId="0" fontId="45" fillId="27" borderId="9" xfId="17" applyFont="1" applyFill="1" applyBorder="1" applyAlignment="1">
      <alignment horizontal="left"/>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21"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left" vertical="top" wrapText="1"/>
    </xf>
    <xf numFmtId="0" fontId="43" fillId="0" borderId="0" xfId="0" applyFont="1" applyBorder="1" applyAlignment="1">
      <alignment horizontal="left" vertical="center"/>
    </xf>
    <xf numFmtId="0" fontId="5" fillId="0" borderId="0" xfId="0" applyFont="1" applyAlignment="1">
      <alignment horizontal="left"/>
    </xf>
    <xf numFmtId="0" fontId="44" fillId="27" borderId="0" xfId="22" applyFont="1" applyFill="1" applyAlignment="1">
      <alignment horizontal="left" vertical="center" wrapText="1"/>
    </xf>
    <xf numFmtId="0" fontId="45" fillId="27" borderId="1" xfId="17" applyFont="1" applyFill="1" applyAlignment="1">
      <alignment horizontal="left" vertical="center" wrapText="1"/>
    </xf>
    <xf numFmtId="0" fontId="36" fillId="27" borderId="0" xfId="22" applyFill="1" applyAlignment="1">
      <alignment horizontal="left" vertical="center" wrapText="1"/>
    </xf>
    <xf numFmtId="0" fontId="24" fillId="27" borderId="3" xfId="17" applyFill="1" applyBorder="1" applyAlignment="1">
      <alignment horizontal="left" vertical="center" wrapText="1"/>
    </xf>
    <xf numFmtId="0" fontId="24" fillId="27" borderId="4" xfId="17" applyFill="1" applyBorder="1" applyAlignment="1">
      <alignment horizontal="left" vertical="center" wrapText="1"/>
    </xf>
    <xf numFmtId="0" fontId="24" fillId="27" borderId="1" xfId="17" applyFill="1" applyAlignment="1">
      <alignment horizontal="left" vertical="center" wrapText="1"/>
    </xf>
    <xf numFmtId="0" fontId="25" fillId="18" borderId="1" xfId="2" applyAlignment="1">
      <alignment horizontal="left" vertical="center" wrapText="1"/>
    </xf>
    <xf numFmtId="0" fontId="27" fillId="0" borderId="1" xfId="3" applyFill="1" applyAlignment="1">
      <alignment horizontal="left" vertical="center" wrapText="1"/>
      <protection locked="0"/>
    </xf>
    <xf numFmtId="0" fontId="48" fillId="30" borderId="1" xfId="21" applyFont="1" applyFill="1" applyAlignment="1">
      <alignment horizontal="center" vertical="center" wrapText="1"/>
    </xf>
    <xf numFmtId="0" fontId="5" fillId="0" borderId="0" xfId="0" applyFont="1"/>
    <xf numFmtId="0" fontId="5" fillId="0" borderId="0" xfId="0" applyFont="1" applyAlignment="1">
      <alignment horizontal="center"/>
    </xf>
    <xf numFmtId="0" fontId="0" fillId="0" borderId="1" xfId="0" applyFill="1" applyBorder="1" applyAlignment="1" applyProtection="1">
      <alignment horizontal="left"/>
      <protection locked="0"/>
    </xf>
    <xf numFmtId="0" fontId="54" fillId="27" borderId="1" xfId="17" applyFont="1" applyFill="1" applyAlignment="1">
      <alignment horizontal="left" vertical="center" wrapText="1"/>
    </xf>
    <xf numFmtId="0" fontId="46" fillId="0" borderId="0" xfId="0" applyFont="1" applyAlignment="1">
      <alignment horizontal="left" wrapText="1"/>
    </xf>
    <xf numFmtId="0" fontId="45" fillId="27" borderId="14" xfId="17" applyFont="1" applyFill="1" applyBorder="1" applyAlignment="1">
      <alignment horizontal="left"/>
    </xf>
    <xf numFmtId="0" fontId="45" fillId="27" borderId="3" xfId="17" applyFont="1" applyFill="1" applyBorder="1" applyAlignment="1">
      <alignment horizontal="left"/>
    </xf>
    <xf numFmtId="0" fontId="45" fillId="27" borderId="13" xfId="17" applyFont="1" applyFill="1" applyBorder="1" applyAlignment="1">
      <alignment horizontal="left"/>
    </xf>
    <xf numFmtId="0" fontId="45" fillId="27" borderId="6" xfId="17" applyFont="1" applyFill="1" applyBorder="1" applyAlignment="1">
      <alignment horizontal="left"/>
    </xf>
    <xf numFmtId="0" fontId="45" fillId="27" borderId="0" xfId="17" applyFont="1" applyFill="1" applyBorder="1" applyAlignment="1">
      <alignment horizontal="left"/>
    </xf>
    <xf numFmtId="0" fontId="5" fillId="31" borderId="1" xfId="24" applyFont="1" applyFill="1" applyBorder="1" applyAlignment="1" applyProtection="1">
      <alignment horizontal="left" vertical="center" wrapText="1"/>
      <protection hidden="1"/>
    </xf>
    <xf numFmtId="0" fontId="5" fillId="0" borderId="0" xfId="24" applyFont="1" applyBorder="1" applyAlignment="1">
      <alignment horizontal="left" vertical="center" wrapText="1"/>
    </xf>
    <xf numFmtId="0" fontId="45" fillId="27" borderId="1" xfId="17" applyFont="1" applyFill="1" applyAlignment="1">
      <alignment horizontal="left"/>
    </xf>
    <xf numFmtId="0" fontId="51" fillId="0" borderId="0" xfId="24" applyFont="1" applyBorder="1" applyAlignment="1">
      <alignment horizontal="left" vertical="center" wrapText="1"/>
    </xf>
    <xf numFmtId="0" fontId="49" fillId="0" borderId="0" xfId="24" applyFont="1" applyBorder="1" applyAlignment="1">
      <alignment horizontal="left" vertical="center" wrapText="1"/>
    </xf>
    <xf numFmtId="0" fontId="46" fillId="18" borderId="1" xfId="2" applyFont="1" applyAlignment="1">
      <alignment horizontal="left" vertical="center" wrapText="1"/>
    </xf>
    <xf numFmtId="0" fontId="5" fillId="31" borderId="1" xfId="24" applyFont="1" applyFill="1" applyAlignment="1" applyProtection="1">
      <alignment horizontal="left" vertical="center" wrapText="1"/>
      <protection hidden="1"/>
    </xf>
    <xf numFmtId="49" fontId="47" fillId="0" borderId="1" xfId="3" applyNumberFormat="1" applyFont="1" applyFill="1" applyAlignment="1">
      <alignment horizontal="left" vertical="center" wrapText="1"/>
      <protection locked="0"/>
    </xf>
    <xf numFmtId="0" fontId="48" fillId="27" borderId="1" xfId="23" applyFont="1" applyFill="1" applyAlignment="1">
      <alignment horizontal="left" vertical="center" wrapText="1"/>
    </xf>
    <xf numFmtId="14" fontId="27" fillId="0" borderId="1" xfId="3" applyNumberFormat="1" applyFill="1">
      <alignment horizontal="left" vertical="center" wrapText="1"/>
      <protection locked="0"/>
    </xf>
    <xf numFmtId="0" fontId="66" fillId="0" borderId="1" xfId="0" applyFont="1" applyBorder="1" applyAlignment="1">
      <alignment horizontal="center" vertical="center" wrapText="1"/>
    </xf>
    <xf numFmtId="0" fontId="66" fillId="0" borderId="6" xfId="0" applyFont="1" applyBorder="1" applyAlignment="1">
      <alignment horizontal="center" vertical="top" wrapText="1"/>
    </xf>
    <xf numFmtId="0" fontId="66" fillId="0" borderId="21" xfId="0" applyFont="1" applyBorder="1" applyAlignment="1">
      <alignment horizontal="center" vertical="top" wrapText="1"/>
    </xf>
    <xf numFmtId="0" fontId="66" fillId="0" borderId="8" xfId="0" applyFont="1" applyBorder="1" applyAlignment="1">
      <alignment horizontal="center" vertical="top" wrapText="1"/>
    </xf>
    <xf numFmtId="0" fontId="66" fillId="0" borderId="15" xfId="0" applyFont="1" applyBorder="1" applyAlignment="1">
      <alignment horizontal="center" vertical="top" wrapText="1"/>
    </xf>
    <xf numFmtId="0" fontId="67" fillId="0" borderId="10" xfId="0" applyFont="1" applyBorder="1" applyAlignment="1">
      <alignment horizontal="center" vertical="top" wrapText="1"/>
    </xf>
    <xf numFmtId="0" fontId="67" fillId="0" borderId="1" xfId="0" applyFont="1" applyBorder="1" applyAlignment="1">
      <alignment horizontal="center" vertical="top" wrapText="1"/>
    </xf>
    <xf numFmtId="0" fontId="67" fillId="0" borderId="2" xfId="0" applyFont="1" applyBorder="1" applyAlignment="1">
      <alignment horizontal="center" vertical="top" wrapText="1"/>
    </xf>
    <xf numFmtId="0" fontId="67" fillId="0" borderId="7" xfId="0" applyFont="1" applyBorder="1" applyAlignment="1">
      <alignment horizontal="center" vertical="top" wrapText="1"/>
    </xf>
    <xf numFmtId="0" fontId="67" fillId="0" borderId="9" xfId="0" applyFont="1" applyBorder="1" applyAlignment="1">
      <alignment horizontal="center" vertical="top" wrapText="1"/>
    </xf>
    <xf numFmtId="0" fontId="67" fillId="0" borderId="8" xfId="0" applyFont="1" applyBorder="1" applyAlignment="1">
      <alignment horizontal="center" vertical="top" wrapText="1"/>
    </xf>
    <xf numFmtId="0" fontId="67" fillId="0" borderId="15" xfId="0" applyFont="1" applyBorder="1" applyAlignment="1">
      <alignment horizontal="center" vertical="top" wrapText="1"/>
    </xf>
    <xf numFmtId="0" fontId="68" fillId="0" borderId="1" xfId="0" applyFont="1" applyBorder="1" applyAlignment="1">
      <alignment horizontal="center" vertical="center" wrapText="1"/>
    </xf>
    <xf numFmtId="0" fontId="68" fillId="0" borderId="3" xfId="0" applyFont="1" applyBorder="1" applyAlignment="1">
      <alignment horizontal="center" vertical="center" wrapText="1"/>
    </xf>
    <xf numFmtId="0" fontId="66" fillId="0" borderId="3" xfId="0" applyFont="1" applyBorder="1" applyAlignment="1">
      <alignment horizontal="center" vertical="center" wrapText="1"/>
    </xf>
    <xf numFmtId="0" fontId="66" fillId="0" borderId="1" xfId="0" applyFont="1" applyBorder="1" applyAlignment="1">
      <alignment horizontal="center" vertical="top" wrapText="1"/>
    </xf>
    <xf numFmtId="0" fontId="66" fillId="0" borderId="3" xfId="0" applyFont="1" applyBorder="1" applyAlignment="1">
      <alignment horizontal="center" vertical="top" wrapText="1"/>
    </xf>
    <xf numFmtId="0" fontId="66" fillId="0" borderId="7" xfId="0" applyFont="1" applyBorder="1" applyAlignment="1">
      <alignment horizontal="center" vertical="top" wrapText="1"/>
    </xf>
    <xf numFmtId="0" fontId="66" fillId="0" borderId="9" xfId="0" applyFont="1" applyBorder="1" applyAlignment="1">
      <alignment horizontal="center" vertical="top" wrapText="1"/>
    </xf>
    <xf numFmtId="0" fontId="68" fillId="0" borderId="1" xfId="0" applyFont="1" applyBorder="1" applyAlignment="1">
      <alignment horizontal="center" vertical="top" wrapText="1"/>
    </xf>
    <xf numFmtId="0" fontId="68" fillId="0" borderId="3" xfId="0" applyFont="1" applyBorder="1" applyAlignment="1">
      <alignment horizontal="center" vertical="top" wrapText="1"/>
    </xf>
    <xf numFmtId="0" fontId="57" fillId="0" borderId="2" xfId="0" applyFont="1" applyBorder="1" applyAlignment="1">
      <alignment horizontal="left" vertical="top" wrapText="1"/>
    </xf>
    <xf numFmtId="0" fontId="57" fillId="0" borderId="10" xfId="0" applyFont="1" applyBorder="1" applyAlignment="1">
      <alignment horizontal="left" vertical="top" wrapText="1"/>
    </xf>
    <xf numFmtId="0" fontId="63" fillId="0" borderId="2" xfId="0" applyFont="1" applyBorder="1" applyAlignment="1">
      <alignment horizontal="left" vertical="top" wrapText="1"/>
    </xf>
    <xf numFmtId="0" fontId="63" fillId="0" borderId="10" xfId="0" applyFont="1" applyBorder="1" applyAlignment="1">
      <alignment horizontal="left" vertical="top" wrapText="1"/>
    </xf>
    <xf numFmtId="0" fontId="65" fillId="0" borderId="0" xfId="0" applyFont="1" applyAlignment="1">
      <alignment horizontal="left" vertical="top" wrapText="1"/>
    </xf>
    <xf numFmtId="0" fontId="65" fillId="0" borderId="45" xfId="0" applyFont="1" applyBorder="1" applyAlignment="1">
      <alignment horizontal="left" vertical="top" wrapText="1" indent="2"/>
    </xf>
    <xf numFmtId="0" fontId="65" fillId="0" borderId="48" xfId="0" applyFont="1" applyBorder="1" applyAlignment="1">
      <alignment horizontal="left" vertical="top" wrapText="1" indent="2"/>
    </xf>
    <xf numFmtId="0" fontId="65" fillId="0" borderId="45" xfId="0" applyFont="1" applyBorder="1" applyAlignment="1">
      <alignment horizontal="left" vertical="top" wrapText="1" indent="3"/>
    </xf>
    <xf numFmtId="0" fontId="65" fillId="0" borderId="47" xfId="0" applyFont="1" applyBorder="1" applyAlignment="1">
      <alignment horizontal="left" vertical="top" wrapText="1" indent="3"/>
    </xf>
    <xf numFmtId="0" fontId="10" fillId="17" borderId="26" xfId="26" applyBorder="1" applyAlignment="1">
      <alignment wrapText="1"/>
    </xf>
    <xf numFmtId="0" fontId="10" fillId="17" borderId="27" xfId="26" applyBorder="1" applyAlignment="1">
      <alignment wrapText="1"/>
    </xf>
    <xf numFmtId="0" fontId="10" fillId="17" borderId="28" xfId="26" applyBorder="1" applyAlignment="1">
      <alignment wrapText="1"/>
    </xf>
    <xf numFmtId="0" fontId="57" fillId="0" borderId="0" xfId="0" applyFont="1" applyAlignment="1">
      <alignment horizontal="left" vertical="center" wrapText="1"/>
    </xf>
    <xf numFmtId="0" fontId="57" fillId="0" borderId="0" xfId="0" applyFont="1" applyAlignment="1">
      <alignment horizontal="left" wrapText="1"/>
    </xf>
    <xf numFmtId="0" fontId="10" fillId="17" borderId="22" xfId="26" applyAlignment="1">
      <alignment horizontal="left" wrapText="1"/>
    </xf>
  </cellXfs>
  <cellStyles count="41">
    <cellStyle name="20% - Accent1" xfId="32" builtinId="30" hidden="1"/>
    <cellStyle name="Bad" xfId="12" builtinId="27" hidden="1"/>
    <cellStyle name="Calculation" xfId="40" builtinId="22"/>
    <cellStyle name="Check Cell" xfId="29" builtinId="23" hidden="1"/>
    <cellStyle name="Comma" xfId="39" builtinId="3"/>
    <cellStyle name="Currency" xfId="37" builtinId="4"/>
    <cellStyle name="Explanatory Text" xfId="31" builtinId="53" hidden="1"/>
    <cellStyle name="Followed Hyperlink" xfId="5" builtinId="9" customBuiltin="1"/>
    <cellStyle name="Good" xfId="11" builtinId="26" hidden="1"/>
    <cellStyle name="Heading 1" xfId="7" builtinId="16" hidden="1"/>
    <cellStyle name="Heading 1" xfId="20"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10" builtinId="19" hidden="1"/>
    <cellStyle name="Heading 4" xfId="35"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163">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patternType="mediumGray"/>
      </fill>
    </dxf>
    <dxf>
      <fill>
        <patternFill patternType="mediumGray"/>
      </fill>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4" formatCode="&quot;$&quot;#,##0.00"/>
    </dxf>
    <dxf>
      <numFmt numFmtId="164" formatCode="&quot;$&quot;#,##0.00"/>
    </dxf>
    <dxf>
      <numFmt numFmtId="169" formatCode="0.000"/>
    </dxf>
    <dxf>
      <numFmt numFmtId="173" formatCode="_(* #,##0.0_);_(* \(#,##0.0\);_(* &quot;-&quot;??_);_(@_)"/>
    </dxf>
    <dxf>
      <numFmt numFmtId="164" formatCode="&quot;$&quot;#,##0.00"/>
    </dxf>
    <dxf>
      <numFmt numFmtId="164" formatCode="&quot;$&quot;#,##0.00"/>
    </dxf>
    <dxf>
      <numFmt numFmtId="164" formatCode="&quot;$&quot;#,##0.00"/>
    </dxf>
    <dxf>
      <numFmt numFmtId="164" formatCode="&quot;$&quot;#,##0.00"/>
    </dxf>
    <dxf>
      <numFmt numFmtId="164" formatCode="&quot;$&quot;#,##0.00"/>
    </dxf>
    <dxf>
      <numFmt numFmtId="0" formatCode="General"/>
    </dxf>
    <dxf>
      <fill>
        <patternFill patternType="none">
          <fgColor indexed="64"/>
          <bgColor indexed="65"/>
        </patternFill>
      </fill>
    </dxf>
    <dxf>
      <font>
        <b/>
        <i val="0"/>
        <strike val="0"/>
        <condense val="0"/>
        <extend val="0"/>
        <outline val="0"/>
        <shadow val="0"/>
        <u val="none"/>
        <vertAlign val="baseline"/>
        <sz val="10"/>
        <color theme="1"/>
        <name val="Arial"/>
        <family val="2"/>
        <scheme val="none"/>
      </font>
      <numFmt numFmtId="167" formatCode="#,##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1"/>
        </patternFill>
      </fill>
      <alignment horizontal="left" textRotation="0" indent="0" justifyLastLine="0" shrinkToFit="0" readingOrder="0"/>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8" formatCode="#,##0.000"/>
      <fill>
        <patternFill patternType="solid">
          <fgColor indexed="64"/>
          <bgColor theme="0" tint="-0.249977111117893"/>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7" formatCode="#,##0.0"/>
      <fill>
        <patternFill patternType="solid">
          <fgColor indexed="64"/>
          <bgColor theme="0" tint="-0.249977111117893"/>
        </patternFill>
      </fill>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1"/>
        </patternFill>
      </fill>
      <alignment horizontal="left" textRotation="0" indent="0" justifyLastLine="0" shrinkToFit="0" readingOrder="0"/>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numFmt numFmtId="167" formatCode="#,##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8" formatCode="#,##0.000"/>
      <alignment horizontal="center" vertical="center" textRotation="0" wrapText="1" indent="0" justifyLastLine="0" shrinkToFit="0" readingOrder="0"/>
    </dxf>
    <dxf>
      <numFmt numFmtId="167" formatCode="#,##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outline val="0"/>
        <shadow val="0"/>
        <u val="none"/>
        <vertAlign val="baseline"/>
        <name val="Arial"/>
        <family val="2"/>
        <scheme val="none"/>
      </font>
      <numFmt numFmtId="164" formatCode="&quot;$&quot;#,##0.00"/>
      <fill>
        <patternFill patternType="solid">
          <fgColor indexed="64"/>
          <bgColor theme="0" tint="-0.249977111117893"/>
        </patternFill>
      </fil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fill>
        <patternFill patternType="none">
          <fgColor indexed="64"/>
          <bgColor auto="1"/>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4" formatCode="#,##0.00"/>
      <fill>
        <patternFill patternType="none">
          <fgColor indexed="64"/>
          <bgColor auto="1"/>
        </patternFill>
      </fill>
      <border outline="0">
        <left style="thin">
          <color indexed="64"/>
        </left>
        <right style="thin">
          <color indexed="64"/>
        </right>
      </border>
    </dxf>
    <dxf>
      <font>
        <outline val="0"/>
        <shadow val="0"/>
        <u val="none"/>
        <vertAlign val="baseline"/>
        <name val="Arial"/>
        <family val="2"/>
        <scheme val="none"/>
      </font>
      <numFmt numFmtId="4" formatCode="#,##0.00"/>
      <fill>
        <patternFill patternType="none">
          <fgColor indexed="64"/>
          <bgColor auto="1"/>
        </patternFill>
      </fill>
      <border outline="0">
        <left style="thin">
          <color indexed="64"/>
        </left>
        <right style="thin">
          <color indexed="64"/>
        </right>
      </border>
    </dxf>
    <dxf>
      <font>
        <outline val="0"/>
        <shadow val="0"/>
        <u val="none"/>
        <vertAlign val="baseline"/>
        <name val="Arial"/>
        <family val="2"/>
        <scheme val="none"/>
      </font>
      <numFmt numFmtId="3" formatCode="#,##0"/>
      <fill>
        <patternFill patternType="none">
          <fgColor indexed="64"/>
          <bgColor auto="1"/>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border outline="0">
        <left style="thin">
          <color indexed="64"/>
        </left>
        <right style="thin">
          <color indexed="64"/>
        </right>
      </border>
    </dxf>
    <dxf>
      <font>
        <strike/>
        <outline val="0"/>
        <shadow val="0"/>
        <u val="none"/>
        <vertAlign val="baseline"/>
        <color rgb="FF000000"/>
        <name val="Arial"/>
        <family val="2"/>
        <scheme val="none"/>
      </font>
      <numFmt numFmtId="167" formatCode="#,##0.0"/>
      <fill>
        <patternFill patternType="none">
          <fgColor indexed="64"/>
          <bgColor auto="1"/>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none">
          <fgColor indexed="64"/>
          <bgColor auto="1"/>
        </patternFill>
      </fill>
      <alignment horizontal="center" vertical="center" textRotation="0" wrapText="1" indent="0" justifyLastLine="0" shrinkToFit="0" readingOrder="0"/>
      <border outline="0">
        <left/>
        <right style="thin">
          <color indexed="64"/>
        </right>
      </border>
    </dxf>
    <dxf>
      <font>
        <outline val="0"/>
        <shadow val="0"/>
        <u val="none"/>
        <vertAlign val="baseline"/>
        <name val="Arial"/>
        <family val="2"/>
        <scheme val="none"/>
      </font>
      <fill>
        <patternFill patternType="none">
          <fgColor indexed="64"/>
          <bgColor auto="1"/>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outline val="0"/>
        <shadow val="0"/>
        <u val="none"/>
        <vertAlign val="baseline"/>
        <name val="Arial"/>
        <family val="2"/>
        <scheme val="none"/>
      </font>
    </dxf>
    <dxf>
      <border outline="0">
        <bottom style="thin">
          <color rgb="FF000000"/>
        </bottom>
      </border>
    </dxf>
    <dxf>
      <font>
        <outline val="0"/>
        <shadow val="0"/>
        <u val="none"/>
        <vertAlign val="baseline"/>
        <name val="Arial"/>
        <family val="2"/>
        <scheme val="none"/>
      </font>
      <border diagonalUp="0" diagonalDown="0" outline="0">
        <left style="thin">
          <color auto="1"/>
        </left>
        <right style="thin">
          <color auto="1"/>
        </right>
        <top/>
        <bottom/>
      </border>
    </dxf>
    <dxf>
      <fill>
        <patternFill>
          <bgColor theme="2"/>
        </patternFill>
      </fill>
    </dxf>
    <dxf>
      <numFmt numFmtId="167" formatCode="#,##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numFmt numFmtId="168" formatCode="#,##0.000"/>
      <alignment horizontal="center" vertical="center" textRotation="0" wrapText="1" indent="0" justifyLastLine="0" shrinkToFit="0" readingOrder="0"/>
    </dxf>
    <dxf>
      <numFmt numFmtId="167" formatCode="#,##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left style="thin">
          <color indexed="64"/>
        </left>
      </border>
    </dxf>
    <dxf>
      <font>
        <strike val="0"/>
        <outline val="0"/>
        <shadow val="0"/>
        <u val="none"/>
        <vertAlign val="baseline"/>
        <sz val="10"/>
        <color auto="1"/>
        <name val="Arial"/>
        <family val="2"/>
        <scheme val="none"/>
      </font>
      <numFmt numFmtId="164" formatCode="&quot;$&quot;#,##0.00"/>
      <alignment horizontal="center" vertical="center" textRotation="0" wrapText="1" indent="0" justifyLastLine="0" shrinkToFit="0" readingOrder="0"/>
      <border outline="0">
        <left style="thin">
          <color indexed="64"/>
        </left>
      </border>
      <protection locked="0" hidden="0"/>
    </dxf>
    <dxf>
      <font>
        <strike val="0"/>
        <outline val="0"/>
        <shadow val="0"/>
        <u val="none"/>
        <vertAlign val="baseline"/>
        <sz val="10"/>
        <color auto="1"/>
        <name val="Arial"/>
        <family val="2"/>
        <scheme val="none"/>
      </font>
      <numFmt numFmtId="167" formatCode="#,##0.0"/>
      <border outline="0">
        <left style="thin">
          <color indexed="64"/>
        </left>
        <right style="thin">
          <color indexed="64"/>
        </right>
      </border>
      <protection locked="0" hidden="0"/>
    </dxf>
    <dxf>
      <font>
        <strike val="0"/>
        <outline val="0"/>
        <shadow val="0"/>
        <u val="none"/>
        <vertAlign val="baseline"/>
        <sz val="10"/>
        <color auto="1"/>
        <name val="Arial"/>
        <family val="2"/>
        <scheme val="none"/>
      </font>
      <numFmt numFmtId="167" formatCode="#,##0.0"/>
      <border outline="0">
        <left style="thin">
          <color indexed="64"/>
        </left>
        <right style="thin">
          <color indexed="64"/>
        </right>
      </border>
      <protection locked="0" hidden="0"/>
    </dxf>
    <dxf>
      <font>
        <strike val="0"/>
        <outline val="0"/>
        <shadow val="0"/>
        <u val="none"/>
        <vertAlign val="baseline"/>
        <sz val="10"/>
        <color auto="1"/>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protection locked="0" hidden="0"/>
    </dxf>
    <dxf>
      <font>
        <strike val="0"/>
        <outline val="0"/>
        <shadow val="0"/>
        <u val="none"/>
        <vertAlign val="baseline"/>
        <sz val="10"/>
        <color auto="1"/>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10"/>
        <color auto="1"/>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protection locked="0" hidden="0"/>
    </dxf>
    <dxf>
      <font>
        <strike val="0"/>
        <outline val="0"/>
        <shadow val="0"/>
        <u val="none"/>
        <vertAlign val="baseline"/>
        <sz val="10"/>
        <color auto="1"/>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protection locked="0" hidden="0"/>
    </dxf>
    <dxf>
      <font>
        <outline val="0"/>
        <shadow val="0"/>
        <u val="none"/>
        <vertAlign val="baseline"/>
        <name val="Arial"/>
        <family val="2"/>
        <scheme val="none"/>
      </font>
      <numFmt numFmtId="0" formatCode="General"/>
      <fill>
        <patternFill patternType="solid">
          <fgColor indexed="64"/>
          <bgColor rgb="FFC0C0C0"/>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none">
          <fgColor indexed="64"/>
          <bgColor auto="1"/>
        </patternFill>
      </fill>
      <alignment horizontal="center" vertical="center" textRotation="0" wrapText="1" indent="0" justifyLastLine="0" shrinkToFit="0" readingOrder="0"/>
      <border>
        <left style="thin">
          <color indexed="64"/>
        </left>
        <right style="thin">
          <color indexed="64"/>
        </right>
      </border>
      <protection locked="0" hidden="0"/>
    </dxf>
    <dxf>
      <font>
        <outline val="0"/>
        <shadow val="0"/>
        <u val="none"/>
        <vertAlign val="baseline"/>
        <name val="Arial"/>
        <family val="2"/>
        <scheme val="none"/>
      </font>
      <fill>
        <patternFill patternType="none">
          <fgColor indexed="64"/>
          <bgColor auto="1"/>
        </patternFill>
      </fill>
      <alignment horizontal="center" vertical="center" textRotation="0" wrapText="1" indent="0" justifyLastLine="0" shrinkToFit="0" readingOrder="0"/>
      <border>
        <left style="thin">
          <color indexed="64"/>
        </left>
        <right style="thin">
          <color indexed="64"/>
        </right>
      </border>
      <protection locked="0" hidden="0"/>
    </dxf>
    <dxf>
      <font>
        <outline val="0"/>
        <shadow val="0"/>
        <u val="none"/>
        <vertAlign val="baseline"/>
        <name val="Arial"/>
        <family val="2"/>
        <scheme val="none"/>
      </font>
      <fill>
        <patternFill patternType="solid">
          <fgColor indexed="64"/>
          <bgColor rgb="FFC0C0C0"/>
        </patternFill>
      </fil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solid">
          <fgColor indexed="64"/>
          <bgColor rgb="FFC0C0C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border outline="0">
        <bottom style="thin">
          <color indexed="64"/>
        </bottom>
      </border>
    </dxf>
    <dxf>
      <font>
        <outline val="0"/>
        <shadow val="0"/>
        <u val="none"/>
        <vertAlign val="baseline"/>
        <name val="Arial"/>
        <family val="2"/>
        <scheme val="none"/>
      </font>
      <border diagonalUp="0" diagonalDown="0" outline="0">
        <left style="thin">
          <color auto="1"/>
        </left>
        <right style="thin">
          <color auto="1"/>
        </right>
        <top/>
        <bottom/>
      </border>
    </dxf>
    <dxf>
      <fill>
        <patternFill>
          <bgColor theme="2"/>
        </patternFill>
      </fill>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162"/>
      <tableStyleElement type="firstRowStripe" dxfId="161"/>
      <tableStyleElement type="secondRowStripe" dxfId="160"/>
    </tableStyle>
    <tableStyle name="Input Cells 2" pivot="0" count="3" xr9:uid="{C2C6F8B6-F1BF-4C38-8C6C-F5810E96A7ED}">
      <tableStyleElement type="wholeTable" dxfId="159"/>
      <tableStyleElement type="firstRowStripe" dxfId="158"/>
      <tableStyleElement type="secondRowStripe" dxfId="157"/>
    </tableStyle>
    <tableStyle name="Invisible" pivot="0" table="0" count="0" xr9:uid="{608B31E0-24D9-463C-B6F1-B39AD8790504}"/>
    <tableStyle name="Lookup Table" pivot="0" count="7" xr9:uid="{7A430CEC-830A-4AC1-B89A-72EA92F001D4}">
      <tableStyleElement type="wholeTable" dxfId="156"/>
      <tableStyleElement type="headerRow" dxfId="155"/>
      <tableStyleElement type="totalRow" dxfId="154"/>
      <tableStyleElement type="firstColumn" dxfId="153"/>
      <tableStyleElement type="lastColumn" dxfId="152"/>
      <tableStyleElement type="firstRowStripe" dxfId="151"/>
      <tableStyleElement type="firstColumnStripe" dxfId="150"/>
    </tableStyle>
    <tableStyle name="No Input" pivot="0" count="3" xr9:uid="{6B172CA5-6E53-4EC8-A05C-2C0F8F85993F}">
      <tableStyleElement type="wholeTable" dxfId="149"/>
      <tableStyleElement type="firstRowStripe" dxfId="148"/>
      <tableStyleElement type="secondRowStripe" dxfId="147"/>
    </tableStyle>
  </tableStyles>
  <colors>
    <mruColors>
      <color rgb="FFC0C0C0"/>
      <color rgb="FFFF1A58"/>
      <color rgb="FFDDDDDD"/>
      <color rgb="FF8DC63F"/>
      <color rgb="FF006E51"/>
      <color rgb="FFB41E83"/>
      <color rgb="FFC9E4A6"/>
      <color rgb="FFFFF2CC"/>
      <color rgb="FFFFFF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878205</xdr:colOff>
      <xdr:row>29</xdr:row>
      <xdr:rowOff>125252</xdr:rowOff>
    </xdr:from>
    <xdr:ext cx="1664426" cy="424395"/>
    <xdr:pic>
      <xdr:nvPicPr>
        <xdr:cNvPr id="3" name="Picture 2">
          <a:extLst>
            <a:ext uri="{FF2B5EF4-FFF2-40B4-BE49-F238E27FC236}">
              <a16:creationId xmlns:a16="http://schemas.microsoft.com/office/drawing/2014/main" id="{42BA39D8-AC2E-47D7-86A9-5B7DC276B5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64505" y="14384177"/>
          <a:ext cx="1664426" cy="424395"/>
        </a:xfrm>
        <a:prstGeom prst="rect">
          <a:avLst/>
        </a:prstGeom>
      </xdr:spPr>
    </xdr:pic>
    <xdr:clientData/>
  </xdr:oneCellAnchor>
  <xdr:twoCellAnchor editAs="oneCell">
    <xdr:from>
      <xdr:col>0</xdr:col>
      <xdr:colOff>66675</xdr:colOff>
      <xdr:row>0</xdr:row>
      <xdr:rowOff>266700</xdr:rowOff>
    </xdr:from>
    <xdr:to>
      <xdr:col>2</xdr:col>
      <xdr:colOff>2014615</xdr:colOff>
      <xdr:row>0</xdr:row>
      <xdr:rowOff>917505</xdr:rowOff>
    </xdr:to>
    <xdr:pic>
      <xdr:nvPicPr>
        <xdr:cNvPr id="2" name="Picture 1">
          <a:extLst>
            <a:ext uri="{FF2B5EF4-FFF2-40B4-BE49-F238E27FC236}">
              <a16:creationId xmlns:a16="http://schemas.microsoft.com/office/drawing/2014/main" id="{843C4921-87E2-4E84-8211-6379CBA1169B}"/>
            </a:ext>
          </a:extLst>
        </xdr:cNvPr>
        <xdr:cNvPicPr>
          <a:picLocks noChangeAspect="1"/>
        </xdr:cNvPicPr>
      </xdr:nvPicPr>
      <xdr:blipFill>
        <a:blip xmlns:r="http://schemas.openxmlformats.org/officeDocument/2006/relationships" r:embed="rId2"/>
        <a:stretch>
          <a:fillRect/>
        </a:stretch>
      </xdr:blipFill>
      <xdr:spPr>
        <a:xfrm>
          <a:off x="66675" y="266700"/>
          <a:ext cx="3090940"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962025</xdr:colOff>
      <xdr:row>41</xdr:row>
      <xdr:rowOff>157637</xdr:rowOff>
    </xdr:from>
    <xdr:to>
      <xdr:col>6</xdr:col>
      <xdr:colOff>16601</xdr:colOff>
      <xdr:row>44</xdr:row>
      <xdr:rowOff>96257</xdr:rowOff>
    </xdr:to>
    <xdr:pic>
      <xdr:nvPicPr>
        <xdr:cNvPr id="2" name="Picture 1">
          <a:extLst>
            <a:ext uri="{FF2B5EF4-FFF2-40B4-BE49-F238E27FC236}">
              <a16:creationId xmlns:a16="http://schemas.microsoft.com/office/drawing/2014/main" id="{DBF672E3-B3FE-4F4F-87B7-8A083DBF6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6725" y="9092087"/>
          <a:ext cx="1664426" cy="424395"/>
        </a:xfrm>
        <a:prstGeom prst="rect">
          <a:avLst/>
        </a:prstGeom>
      </xdr:spPr>
    </xdr:pic>
    <xdr:clientData/>
  </xdr:twoCellAnchor>
  <xdr:twoCellAnchor editAs="oneCell">
    <xdr:from>
      <xdr:col>0</xdr:col>
      <xdr:colOff>85725</xdr:colOff>
      <xdr:row>0</xdr:row>
      <xdr:rowOff>133350</xdr:rowOff>
    </xdr:from>
    <xdr:to>
      <xdr:col>2</xdr:col>
      <xdr:colOff>900190</xdr:colOff>
      <xdr:row>0</xdr:row>
      <xdr:rowOff>791775</xdr:rowOff>
    </xdr:to>
    <xdr:pic>
      <xdr:nvPicPr>
        <xdr:cNvPr id="3" name="Picture 2">
          <a:extLst>
            <a:ext uri="{FF2B5EF4-FFF2-40B4-BE49-F238E27FC236}">
              <a16:creationId xmlns:a16="http://schemas.microsoft.com/office/drawing/2014/main" id="{BC7DD32F-86BB-4399-9466-51E53E4EED6D}"/>
            </a:ext>
          </a:extLst>
        </xdr:cNvPr>
        <xdr:cNvPicPr>
          <a:picLocks noChangeAspect="1"/>
        </xdr:cNvPicPr>
      </xdr:nvPicPr>
      <xdr:blipFill>
        <a:blip xmlns:r="http://schemas.openxmlformats.org/officeDocument/2006/relationships" r:embed="rId2"/>
        <a:stretch>
          <a:fillRect/>
        </a:stretch>
      </xdr:blipFill>
      <xdr:spPr>
        <a:xfrm>
          <a:off x="85725" y="133350"/>
          <a:ext cx="3090940" cy="658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61</xdr:row>
      <xdr:rowOff>90962</xdr:rowOff>
    </xdr:from>
    <xdr:to>
      <xdr:col>3</xdr:col>
      <xdr:colOff>645251</xdr:colOff>
      <xdr:row>64</xdr:row>
      <xdr:rowOff>29582</xdr:rowOff>
    </xdr:to>
    <xdr:pic>
      <xdr:nvPicPr>
        <xdr:cNvPr id="2" name="Picture 1">
          <a:extLst>
            <a:ext uri="{FF2B5EF4-FFF2-40B4-BE49-F238E27FC236}">
              <a16:creationId xmlns:a16="http://schemas.microsoft.com/office/drawing/2014/main" id="{223C6C8A-B192-460A-A2D1-9EAA234B29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1311412"/>
          <a:ext cx="1664426" cy="424395"/>
        </a:xfrm>
        <a:prstGeom prst="rect">
          <a:avLst/>
        </a:prstGeom>
      </xdr:spPr>
    </xdr:pic>
    <xdr:clientData/>
  </xdr:twoCellAnchor>
  <xdr:twoCellAnchor editAs="oneCell">
    <xdr:from>
      <xdr:col>1</xdr:col>
      <xdr:colOff>0</xdr:colOff>
      <xdr:row>0</xdr:row>
      <xdr:rowOff>142875</xdr:rowOff>
    </xdr:from>
    <xdr:to>
      <xdr:col>4</xdr:col>
      <xdr:colOff>700165</xdr:colOff>
      <xdr:row>0</xdr:row>
      <xdr:rowOff>801300</xdr:rowOff>
    </xdr:to>
    <xdr:pic>
      <xdr:nvPicPr>
        <xdr:cNvPr id="3" name="Picture 2">
          <a:extLst>
            <a:ext uri="{FF2B5EF4-FFF2-40B4-BE49-F238E27FC236}">
              <a16:creationId xmlns:a16="http://schemas.microsoft.com/office/drawing/2014/main" id="{343353E5-8BB6-49B4-A691-2676CD578DDA}"/>
            </a:ext>
          </a:extLst>
        </xdr:cNvPr>
        <xdr:cNvPicPr>
          <a:picLocks noChangeAspect="1"/>
        </xdr:cNvPicPr>
      </xdr:nvPicPr>
      <xdr:blipFill>
        <a:blip xmlns:r="http://schemas.openxmlformats.org/officeDocument/2006/relationships" r:embed="rId2"/>
        <a:stretch>
          <a:fillRect/>
        </a:stretch>
      </xdr:blipFill>
      <xdr:spPr>
        <a:xfrm>
          <a:off x="142875" y="142875"/>
          <a:ext cx="3090940" cy="6584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60</xdr:row>
      <xdr:rowOff>138587</xdr:rowOff>
    </xdr:from>
    <xdr:to>
      <xdr:col>3</xdr:col>
      <xdr:colOff>635726</xdr:colOff>
      <xdr:row>63</xdr:row>
      <xdr:rowOff>77207</xdr:rowOff>
    </xdr:to>
    <xdr:pic>
      <xdr:nvPicPr>
        <xdr:cNvPr id="2" name="Picture 1">
          <a:extLst>
            <a:ext uri="{FF2B5EF4-FFF2-40B4-BE49-F238E27FC236}">
              <a16:creationId xmlns:a16="http://schemas.microsoft.com/office/drawing/2014/main" id="{5CF43883-2745-4217-9F27-2B5AD03515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1606687"/>
          <a:ext cx="1664426" cy="424395"/>
        </a:xfrm>
        <a:prstGeom prst="rect">
          <a:avLst/>
        </a:prstGeom>
      </xdr:spPr>
    </xdr:pic>
    <xdr:clientData/>
  </xdr:twoCellAnchor>
  <xdr:twoCellAnchor editAs="oneCell">
    <xdr:from>
      <xdr:col>0</xdr:col>
      <xdr:colOff>85725</xdr:colOff>
      <xdr:row>0</xdr:row>
      <xdr:rowOff>85725</xdr:rowOff>
    </xdr:from>
    <xdr:to>
      <xdr:col>4</xdr:col>
      <xdr:colOff>623965</xdr:colOff>
      <xdr:row>0</xdr:row>
      <xdr:rowOff>744150</xdr:rowOff>
    </xdr:to>
    <xdr:pic>
      <xdr:nvPicPr>
        <xdr:cNvPr id="3" name="Picture 2">
          <a:extLst>
            <a:ext uri="{FF2B5EF4-FFF2-40B4-BE49-F238E27FC236}">
              <a16:creationId xmlns:a16="http://schemas.microsoft.com/office/drawing/2014/main" id="{82811A84-AD60-4517-90E5-8FAE96FD9058}"/>
            </a:ext>
          </a:extLst>
        </xdr:cNvPr>
        <xdr:cNvPicPr>
          <a:picLocks noChangeAspect="1"/>
        </xdr:cNvPicPr>
      </xdr:nvPicPr>
      <xdr:blipFill>
        <a:blip xmlns:r="http://schemas.openxmlformats.org/officeDocument/2006/relationships" r:embed="rId2"/>
        <a:stretch>
          <a:fillRect/>
        </a:stretch>
      </xdr:blipFill>
      <xdr:spPr>
        <a:xfrm>
          <a:off x="85725" y="85725"/>
          <a:ext cx="3090940"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904875</xdr:colOff>
      <xdr:row>31</xdr:row>
      <xdr:rowOff>158206</xdr:rowOff>
    </xdr:from>
    <xdr:to>
      <xdr:col>6</xdr:col>
      <xdr:colOff>1169126</xdr:colOff>
      <xdr:row>34</xdr:row>
      <xdr:rowOff>43395</xdr:rowOff>
    </xdr:to>
    <xdr:pic>
      <xdr:nvPicPr>
        <xdr:cNvPr id="3" name="Picture 2">
          <a:extLst>
            <a:ext uri="{FF2B5EF4-FFF2-40B4-BE49-F238E27FC236}">
              <a16:creationId xmlns:a16="http://schemas.microsoft.com/office/drawing/2014/main" id="{BDA23FD2-2374-4322-BC63-E7E4C0D24E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3675" y="6692356"/>
          <a:ext cx="1454876" cy="370964"/>
        </a:xfrm>
        <a:prstGeom prst="rect">
          <a:avLst/>
        </a:prstGeom>
      </xdr:spPr>
    </xdr:pic>
    <xdr:clientData/>
  </xdr:twoCellAnchor>
  <xdr:twoCellAnchor editAs="oneCell">
    <xdr:from>
      <xdr:col>0</xdr:col>
      <xdr:colOff>66675</xdr:colOff>
      <xdr:row>0</xdr:row>
      <xdr:rowOff>95250</xdr:rowOff>
    </xdr:from>
    <xdr:to>
      <xdr:col>2</xdr:col>
      <xdr:colOff>1090690</xdr:colOff>
      <xdr:row>0</xdr:row>
      <xdr:rowOff>753675</xdr:rowOff>
    </xdr:to>
    <xdr:pic>
      <xdr:nvPicPr>
        <xdr:cNvPr id="2" name="Picture 1">
          <a:extLst>
            <a:ext uri="{FF2B5EF4-FFF2-40B4-BE49-F238E27FC236}">
              <a16:creationId xmlns:a16="http://schemas.microsoft.com/office/drawing/2014/main" id="{AA7200EE-3754-4799-B9B5-31601E0F0AF5}"/>
            </a:ext>
          </a:extLst>
        </xdr:cNvPr>
        <xdr:cNvPicPr>
          <a:picLocks noChangeAspect="1"/>
        </xdr:cNvPicPr>
      </xdr:nvPicPr>
      <xdr:blipFill>
        <a:blip xmlns:r="http://schemas.openxmlformats.org/officeDocument/2006/relationships" r:embed="rId2"/>
        <a:stretch>
          <a:fillRect/>
        </a:stretch>
      </xdr:blipFill>
      <xdr:spPr>
        <a:xfrm>
          <a:off x="66675" y="95250"/>
          <a:ext cx="3090940" cy="658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533400</xdr:colOff>
      <xdr:row>44</xdr:row>
      <xdr:rowOff>66675</xdr:rowOff>
    </xdr:from>
    <xdr:to>
      <xdr:col>6</xdr:col>
      <xdr:colOff>1007201</xdr:colOff>
      <xdr:row>47</xdr:row>
      <xdr:rowOff>5295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8620125"/>
          <a:ext cx="1664426" cy="424395"/>
        </a:xfrm>
        <a:prstGeom prst="rect">
          <a:avLst/>
        </a:prstGeom>
      </xdr:spPr>
    </xdr:pic>
    <xdr:clientData/>
  </xdr:twoCellAnchor>
  <xdr:twoCellAnchor editAs="oneCell">
    <xdr:from>
      <xdr:col>0</xdr:col>
      <xdr:colOff>76200</xdr:colOff>
      <xdr:row>0</xdr:row>
      <xdr:rowOff>142875</xdr:rowOff>
    </xdr:from>
    <xdr:to>
      <xdr:col>3</xdr:col>
      <xdr:colOff>604915</xdr:colOff>
      <xdr:row>0</xdr:row>
      <xdr:rowOff>801300</xdr:rowOff>
    </xdr:to>
    <xdr:pic>
      <xdr:nvPicPr>
        <xdr:cNvPr id="2" name="Picture 1">
          <a:extLst>
            <a:ext uri="{FF2B5EF4-FFF2-40B4-BE49-F238E27FC236}">
              <a16:creationId xmlns:a16="http://schemas.microsoft.com/office/drawing/2014/main" id="{771EEB7E-9445-4361-AD3E-5E5D26C82994}"/>
            </a:ext>
          </a:extLst>
        </xdr:cNvPr>
        <xdr:cNvPicPr>
          <a:picLocks noChangeAspect="1"/>
        </xdr:cNvPicPr>
      </xdr:nvPicPr>
      <xdr:blipFill>
        <a:blip xmlns:r="http://schemas.openxmlformats.org/officeDocument/2006/relationships" r:embed="rId2"/>
        <a:stretch>
          <a:fillRect/>
        </a:stretch>
      </xdr:blipFill>
      <xdr:spPr>
        <a:xfrm>
          <a:off x="76200" y="142875"/>
          <a:ext cx="3090940" cy="6584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317500</xdr:colOff>
      <xdr:row>35</xdr:row>
      <xdr:rowOff>84667</xdr:rowOff>
    </xdr:from>
    <xdr:to>
      <xdr:col>23</xdr:col>
      <xdr:colOff>466573</xdr:colOff>
      <xdr:row>44</xdr:row>
      <xdr:rowOff>64899</xdr:rowOff>
    </xdr:to>
    <xdr:pic>
      <xdr:nvPicPr>
        <xdr:cNvPr id="5" name="Picture 4">
          <a:extLst>
            <a:ext uri="{FF2B5EF4-FFF2-40B4-BE49-F238E27FC236}">
              <a16:creationId xmlns:a16="http://schemas.microsoft.com/office/drawing/2014/main" id="{98D56AF7-8572-D931-2FEE-6AF4C90E25AB}"/>
            </a:ext>
          </a:extLst>
        </xdr:cNvPr>
        <xdr:cNvPicPr>
          <a:picLocks noChangeAspect="1"/>
        </xdr:cNvPicPr>
      </xdr:nvPicPr>
      <xdr:blipFill>
        <a:blip xmlns:r="http://schemas.openxmlformats.org/officeDocument/2006/relationships" r:embed="rId1"/>
        <a:stretch>
          <a:fillRect/>
        </a:stretch>
      </xdr:blipFill>
      <xdr:spPr>
        <a:xfrm>
          <a:off x="29643917" y="7164917"/>
          <a:ext cx="5578323" cy="14936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ptimcorp-my.sharepoint.com/personal/spencer_kurtz_aptim_com/Documents/Desktop/ENO%20Program%20Files/HVAC-Chiller%20Tune-Ups/Energy_Smart_HVAC_Tune-Up_Workbook_v2.0%20DRAFT%20-%20Unlocked.xlsx" TargetMode="External"/><Relationship Id="rId1" Type="http://schemas.openxmlformats.org/officeDocument/2006/relationships/externalLinkPath" Target="/personal/spencer_kurtz_aptim_com/Documents/Desktop/ENO%20Program%20Files/HVAC-Chiller%20Tune-Ups/Energy_Smart_HVAC_Tune-Up_Workbook_v2.0%20DRAFT%20-%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erica_hawthorne_aptim_com/Documents/ELL/Marketing/Collateral/Commercial/HVAC/Energy_Smart_Non-Lighting_Workbook_v3.1%20-%20Unlocked.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personal/spencer_kurtz_aptim_com/Documents/Desktop/ELL%20Program%20Files/Program%20Template%20Docs%20&amp;%20Calculators/2024%20Template%20Calculators/ELL_Non-Lighting%20Workbook_Unprotected_2024%20v4.3.xlsx?13C3DDEE" TargetMode="External"/><Relationship Id="rId1" Type="http://schemas.openxmlformats.org/officeDocument/2006/relationships/externalLinkPath" Target="file:///\\13C3DDEE\ELL_Non-Lighting%20Workbook_Unprotected_2024%20v4.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erica_hawthorne_aptim_com/Documents/ELL/Marketing/Collateral/Commercial/HVAC/ELL_Non-Lighting%20Workbook_Unprotected_2024%20v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ptimcorp.sharepoint.com/personal/andrew_sheaffer_aptim_com/_vti_history/121856/Documents/Documents/Files/Calc%20rework/ENO%20Combined%20Calculato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ersonal/andrew_sheaffer_aptim_com/_vti_history/121856/Documents/Documents/Files/Calc%20rework/ENO%20Combined%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Application"/>
      <sheetName val="Signature"/>
      <sheetName val="A-C &amp; Heat Pumps"/>
      <sheetName val="Chillers"/>
      <sheetName val="Chiller Data Measurements"/>
      <sheetName val="Summary"/>
      <sheetName val="Completion"/>
      <sheetName val="References"/>
      <sheetName val="HVAC Calcs - OLD"/>
      <sheetName val="Caps"/>
      <sheetName val="QC"/>
      <sheetName val="Proj Data"/>
      <sheetName val="APTracks Export Data"/>
      <sheetName val="Energy_Smart_HVAC_Tune-Up_Workb"/>
    </sheetNames>
    <sheetDataSet>
      <sheetData sheetId="0"/>
      <sheetData sheetId="1">
        <row r="10">
          <cell r="F10" t="str">
            <v>Small Commercial Solutions (project site demand &lt; 100kW)</v>
          </cell>
        </row>
        <row r="27">
          <cell r="F27">
            <v>9.4600000000000004E-2</v>
          </cell>
        </row>
      </sheetData>
      <sheetData sheetId="2"/>
      <sheetData sheetId="3"/>
      <sheetData sheetId="4"/>
      <sheetData sheetId="5"/>
      <sheetData sheetId="6">
        <row r="11">
          <cell r="C11">
            <v>26400</v>
          </cell>
          <cell r="D11">
            <v>22550</v>
          </cell>
          <cell r="E11">
            <v>3850</v>
          </cell>
          <cell r="F11">
            <v>114315.28210396488</v>
          </cell>
        </row>
      </sheetData>
      <sheetData sheetId="7"/>
      <sheetData sheetId="8">
        <row r="3">
          <cell r="B3">
            <v>200000</v>
          </cell>
        </row>
        <row r="4">
          <cell r="AA4" t="str">
            <v xml:space="preserve">Corporation </v>
          </cell>
          <cell r="AB4" t="str">
            <v>Individual/Sole Proprietor</v>
          </cell>
          <cell r="AC4" t="str">
            <v>Yes</v>
          </cell>
          <cell r="AD4" t="str">
            <v>Yes</v>
          </cell>
          <cell r="AE4" t="str">
            <v>No</v>
          </cell>
          <cell r="AF4" t="str">
            <v>Pre-Retrofit</v>
          </cell>
          <cell r="AG4" t="str">
            <v>Contractor Install</v>
          </cell>
          <cell r="AI4" t="str">
            <v>Leisure Dining: Bar Area</v>
          </cell>
          <cell r="AJ4" t="str">
            <v>A/C with gas heat</v>
          </cell>
          <cell r="AK4" t="str">
            <v>Electric</v>
          </cell>
          <cell r="AL4" t="str">
            <v>Customer</v>
          </cell>
          <cell r="AM4" t="str">
            <v>Bill Insert</v>
          </cell>
        </row>
        <row r="5">
          <cell r="AA5" t="str">
            <v>LLC, C,S,P</v>
          </cell>
          <cell r="AB5" t="str">
            <v>LLC</v>
          </cell>
          <cell r="AC5" t="str">
            <v>No</v>
          </cell>
          <cell r="AD5" t="str">
            <v>No</v>
          </cell>
          <cell r="AE5" t="str">
            <v>Unknown</v>
          </cell>
          <cell r="AF5" t="str">
            <v>Post-Retrofit</v>
          </cell>
          <cell r="AG5" t="str">
            <v>Self Install</v>
          </cell>
          <cell r="AI5" t="str">
            <v>Corridor/Hallway/Stairwell</v>
          </cell>
          <cell r="AJ5" t="str">
            <v>A/C with electric resistance heat</v>
          </cell>
          <cell r="AK5" t="str">
            <v>Natural Gas</v>
          </cell>
          <cell r="AL5" t="str">
            <v>Trade Ally/Contractor</v>
          </cell>
          <cell r="AM5" t="str">
            <v>Calling Campaign</v>
          </cell>
        </row>
        <row r="6">
          <cell r="AA6" t="str">
            <v>Individual/Sole Proprietorship</v>
          </cell>
          <cell r="AB6" t="str">
            <v>Corporation</v>
          </cell>
          <cell r="AC6" t="str">
            <v>Unknown</v>
          </cell>
          <cell r="AE6" t="str">
            <v>Yes-DOT Disadvantaged Business Enterprise</v>
          </cell>
          <cell r="AG6" t="str">
            <v>Direct Install</v>
          </cell>
          <cell r="AI6" t="str">
            <v>Education: College/University</v>
          </cell>
          <cell r="AJ6" t="str">
            <v>A/C with heat pump heat</v>
          </cell>
          <cell r="AK6" t="str">
            <v>Oil</v>
          </cell>
          <cell r="AL6" t="str">
            <v>Additional Contact</v>
          </cell>
          <cell r="AM6" t="str">
            <v>Direct Mail</v>
          </cell>
        </row>
        <row r="7">
          <cell r="AA7" t="str">
            <v>Partnership</v>
          </cell>
          <cell r="AB7" t="str">
            <v>Partnership</v>
          </cell>
          <cell r="AE7" t="str">
            <v>Yes-Disabled Veteran-Owned Business Enterprise (DVET)</v>
          </cell>
          <cell r="AG7" t="str">
            <v>Other</v>
          </cell>
          <cell r="AI7" t="str">
            <v>Education: K-12</v>
          </cell>
          <cell r="AJ7" t="str">
            <v>A/C with no heat</v>
          </cell>
          <cell r="AK7" t="str">
            <v>Propane</v>
          </cell>
          <cell r="AL7" t="str">
            <v>Job Site</v>
          </cell>
          <cell r="AM7" t="str">
            <v>Energy Advisor</v>
          </cell>
        </row>
        <row r="8">
          <cell r="B8" t="str">
            <v>Version 2.0</v>
          </cell>
          <cell r="AA8" t="str">
            <v>Trust/Estate</v>
          </cell>
          <cell r="AB8" t="str">
            <v>Trust/estate</v>
          </cell>
          <cell r="AE8" t="str">
            <v>Yes-Veteran-Owned Business Enterprise (VBE)</v>
          </cell>
          <cell r="AI8" t="str">
            <v>Exterior/Outdoors/Parking Lot</v>
          </cell>
          <cell r="AJ8" t="str">
            <v>Refrigerated space (33-41°F)</v>
          </cell>
          <cell r="AK8" t="str">
            <v>Steam</v>
          </cell>
          <cell r="AM8" t="str">
            <v>Event/Trade Show</v>
          </cell>
        </row>
        <row r="9">
          <cell r="AA9" t="str">
            <v>Non-Profit</v>
          </cell>
          <cell r="AB9" t="str">
            <v>Exempt</v>
          </cell>
          <cell r="AE9" t="str">
            <v>Yes-Woman-Owned Business Enterprise (WBE)</v>
          </cell>
          <cell r="AI9" t="str">
            <v>Food Sales: 24-Hour Supermarket</v>
          </cell>
          <cell r="AJ9" t="str">
            <v>Freezer space (-10-10°F)</v>
          </cell>
          <cell r="AK9" t="str">
            <v>Other</v>
          </cell>
          <cell r="AM9" t="str">
            <v>Search Engine</v>
          </cell>
        </row>
        <row r="10">
          <cell r="AA10" t="str">
            <v>Other</v>
          </cell>
          <cell r="AE10" t="str">
            <v>Yes-SBA 8(a) program</v>
          </cell>
          <cell r="AI10" t="str">
            <v>Food Sales: Non 24-Hour Supermarket</v>
          </cell>
          <cell r="AJ10" t="str">
            <v>N/A (Unconditioned)</v>
          </cell>
          <cell r="AK10" t="str">
            <v>Not Applicable</v>
          </cell>
          <cell r="AM10" t="str">
            <v>SMS Text</v>
          </cell>
        </row>
        <row r="11">
          <cell r="AE11" t="str">
            <v>Yes-SMA Small Disadvantaged Business Enterprise (SDB)</v>
          </cell>
          <cell r="AI11" t="str">
            <v>Food Service: Fast Food</v>
          </cell>
          <cell r="AM11" t="str">
            <v>Social Media</v>
          </cell>
        </row>
        <row r="12">
          <cell r="AE12" t="str">
            <v>Yes-SBA HubZone Business Enterprise (HubZone)</v>
          </cell>
          <cell r="AI12" t="str">
            <v>Food Service: Sit-Down Restaurant</v>
          </cell>
          <cell r="AM12" t="str">
            <v>Utility Website</v>
          </cell>
        </row>
        <row r="13">
          <cell r="AE13" t="str">
            <v>Yes-LGBT-Owned Business Enterprise</v>
          </cell>
          <cell r="AI13" t="str">
            <v>Health Care: In-Patient</v>
          </cell>
          <cell r="AM13" t="str">
            <v>Other</v>
          </cell>
        </row>
        <row r="14">
          <cell r="AE14" t="str">
            <v>Yes-DBE Type Not Listed</v>
          </cell>
          <cell r="AI14" t="str">
            <v>Health Care: Nursing Home</v>
          </cell>
        </row>
        <row r="15">
          <cell r="AI15" t="str">
            <v>Health Care: Out-Patient</v>
          </cell>
        </row>
        <row r="16">
          <cell r="AI16" t="str">
            <v>Convenience Store (non-24 hour)</v>
          </cell>
        </row>
        <row r="17">
          <cell r="AI17" t="str">
            <v>Lodging (Hotel/Motel/Dorm): Common Areas</v>
          </cell>
        </row>
        <row r="18">
          <cell r="AI18" t="str">
            <v>Lodging (Hotel/Motel/Dorm): Room</v>
          </cell>
        </row>
        <row r="19">
          <cell r="AI19" t="str">
            <v>Manufacturing</v>
          </cell>
        </row>
        <row r="20">
          <cell r="AI20" t="str">
            <v>Multi-family Housing: Common Areas</v>
          </cell>
        </row>
        <row r="21">
          <cell r="AI21" t="str">
            <v>Non-Warehouse Storage (Generic)</v>
          </cell>
        </row>
        <row r="22">
          <cell r="AI22" t="str">
            <v>Office</v>
          </cell>
        </row>
        <row r="23">
          <cell r="AI23" t="str">
            <v>Office (attached to other facility)</v>
          </cell>
        </row>
        <row r="24">
          <cell r="AI24" t="str">
            <v>Parking Structure</v>
          </cell>
        </row>
        <row r="25">
          <cell r="AI25" t="str">
            <v>Public Assembly</v>
          </cell>
        </row>
        <row r="26">
          <cell r="AI26" t="str">
            <v>Public Order and Safety</v>
          </cell>
        </row>
        <row r="27">
          <cell r="AI27" t="str">
            <v>Religious Gathering</v>
          </cell>
        </row>
        <row r="28">
          <cell r="AI28" t="str">
            <v>Restroom (Generic)</v>
          </cell>
        </row>
        <row r="29">
          <cell r="AI29" t="str">
            <v>Retail: Enclosed Mall</v>
          </cell>
        </row>
        <row r="30">
          <cell r="AI30" t="str">
            <v>Retail: Freestanding</v>
          </cell>
        </row>
        <row r="31">
          <cell r="AI31" t="str">
            <v>Retail: Other</v>
          </cell>
        </row>
        <row r="32">
          <cell r="AI32" t="str">
            <v>Retail: Strip Mall</v>
          </cell>
        </row>
        <row r="33">
          <cell r="AI33" t="str">
            <v>Service: Excluding Food</v>
          </cell>
        </row>
        <row r="34">
          <cell r="AI34" t="str">
            <v>Warehouse: Non-Refrigerated</v>
          </cell>
        </row>
        <row r="35">
          <cell r="AI35" t="str">
            <v>Warehouse: Refrigerated</v>
          </cell>
        </row>
        <row r="36">
          <cell r="AI36" t="str">
            <v>Other/Unknown</v>
          </cell>
        </row>
      </sheetData>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pplication"/>
      <sheetName val="Signature"/>
      <sheetName val="HVAC"/>
      <sheetName val="Refrigeration"/>
      <sheetName val="Com Kitchen"/>
      <sheetName val="Window Film"/>
      <sheetName val="Efficient Windows"/>
      <sheetName val="Misc"/>
      <sheetName val="Custom"/>
      <sheetName val="Summary"/>
      <sheetName val="Completion"/>
      <sheetName val="References"/>
      <sheetName val="HVAC Calcs"/>
      <sheetName val="Caps"/>
      <sheetName val="QC"/>
      <sheetName val="Proj Data"/>
      <sheetName val="APTracks Export Data"/>
      <sheetName val="Change Log"/>
      <sheetName val="Energy_Smart_Non-Lighting_Workb"/>
    </sheetNames>
    <sheetDataSet>
      <sheetData sheetId="0"/>
      <sheetData sheetId="1">
        <row r="10">
          <cell r="F10" t="str">
            <v>Small Commercial Solutions (project site demand &lt; 100kW)</v>
          </cell>
        </row>
        <row r="27">
          <cell r="F27">
            <v>9.4600000000000004E-2</v>
          </cell>
        </row>
      </sheetData>
      <sheetData sheetId="2"/>
      <sheetData sheetId="3"/>
      <sheetData sheetId="4"/>
      <sheetData sheetId="5"/>
      <sheetData sheetId="6"/>
      <sheetData sheetId="7"/>
      <sheetData sheetId="8"/>
      <sheetData sheetId="9"/>
      <sheetData sheetId="10">
        <row r="11">
          <cell r="C11">
            <v>363766</v>
          </cell>
          <cell r="D11">
            <v>134172</v>
          </cell>
          <cell r="E11">
            <v>229594</v>
          </cell>
          <cell r="F11">
            <v>932865.01261266111</v>
          </cell>
        </row>
      </sheetData>
      <sheetData sheetId="11"/>
      <sheetData sheetId="12">
        <row r="3">
          <cell r="B3">
            <v>200000</v>
          </cell>
        </row>
        <row r="4">
          <cell r="Z4" t="str">
            <v xml:space="preserve">Corporation </v>
          </cell>
          <cell r="AA4" t="str">
            <v>Individual/Sole Proprietor</v>
          </cell>
          <cell r="AB4" t="str">
            <v>Yes</v>
          </cell>
          <cell r="AD4" t="str">
            <v>No</v>
          </cell>
          <cell r="AE4" t="str">
            <v>Pre-Retrofit</v>
          </cell>
          <cell r="AF4" t="str">
            <v>Contractor Install</v>
          </cell>
          <cell r="AH4" t="str">
            <v>Leisure Dining: Bar Area</v>
          </cell>
          <cell r="AI4" t="str">
            <v>A/C with gas heat</v>
          </cell>
          <cell r="AJ4" t="str">
            <v>Electric</v>
          </cell>
          <cell r="AK4" t="str">
            <v>Customer</v>
          </cell>
          <cell r="AL4" t="str">
            <v>Bill Insert</v>
          </cell>
          <cell r="AN4" t="str">
            <v>High Eff. AC Unit</v>
          </cell>
          <cell r="AO4" t="str">
            <v>ECM Motor for Freezer or Cooler</v>
          </cell>
          <cell r="AP4" t="str">
            <v>ENERGY STAR Commercial Electric Fryer</v>
          </cell>
          <cell r="AQ4" t="str">
            <v>Window film, gas heat w/AC</v>
          </cell>
          <cell r="AR4" t="str">
            <v>Premium Windows</v>
          </cell>
          <cell r="AS4" t="str">
            <v>Computer Power Management</v>
          </cell>
          <cell r="AT4" t="str">
            <v>East</v>
          </cell>
          <cell r="AU4" t="str">
            <v>North</v>
          </cell>
          <cell r="AV4" t="str">
            <v>Retrofit</v>
          </cell>
          <cell r="AW4" t="str">
            <v>New Air Handling Unit</v>
          </cell>
          <cell r="AX4" t="str">
            <v>Gas heat w/AC</v>
          </cell>
        </row>
        <row r="5">
          <cell r="Z5" t="str">
            <v>LLC, C,S,P</v>
          </cell>
          <cell r="AA5" t="str">
            <v>LLC</v>
          </cell>
          <cell r="AB5" t="str">
            <v>No</v>
          </cell>
          <cell r="AD5" t="str">
            <v>Unknown</v>
          </cell>
          <cell r="AE5" t="str">
            <v>Post-Retrofit</v>
          </cell>
          <cell r="AF5" t="str">
            <v>Self Install</v>
          </cell>
          <cell r="AH5" t="str">
            <v>Corridor/Hallway/Stairwell</v>
          </cell>
          <cell r="AI5" t="str">
            <v>A/C with electric resistance heat</v>
          </cell>
          <cell r="AJ5" t="str">
            <v>Natural Gas</v>
          </cell>
          <cell r="AK5" t="str">
            <v>Trade Ally/Contractor</v>
          </cell>
          <cell r="AL5" t="str">
            <v>Calling Campaign</v>
          </cell>
          <cell r="AN5" t="str">
            <v>High Eff. Heat Pump Unit</v>
          </cell>
          <cell r="AO5" t="str">
            <v>Evaporator Fan Controller for Freezer or Cooler</v>
          </cell>
          <cell r="AP5" t="str">
            <v>ENERGY STAR Commercial Electric Steam Cooker</v>
          </cell>
          <cell r="AQ5" t="str">
            <v>Window film, heat pump heating/cooling</v>
          </cell>
          <cell r="AR5" t="str">
            <v>Efficient Windows</v>
          </cell>
          <cell r="AS5" t="str">
            <v>Advanced Power Strips</v>
          </cell>
          <cell r="AT5" t="str">
            <v>South</v>
          </cell>
          <cell r="AU5" t="str">
            <v>South</v>
          </cell>
          <cell r="AV5" t="str">
            <v>Replacement</v>
          </cell>
          <cell r="AW5" t="str">
            <v xml:space="preserve">New Air-Cooled Chiller </v>
          </cell>
          <cell r="AX5" t="str">
            <v>Heat pump heating/cooling</v>
          </cell>
        </row>
        <row r="6">
          <cell r="B6">
            <v>0.15</v>
          </cell>
          <cell r="Z6" t="str">
            <v>Individual/Sole Proprietorship</v>
          </cell>
          <cell r="AA6" t="str">
            <v>Corporation</v>
          </cell>
          <cell r="AB6" t="str">
            <v>Unknown</v>
          </cell>
          <cell r="AD6" t="str">
            <v>Yes-DOT Disadvantaged Business Enterprise</v>
          </cell>
          <cell r="AF6" t="str">
            <v>Direct Install</v>
          </cell>
          <cell r="AH6" t="str">
            <v>Education: College/University</v>
          </cell>
          <cell r="AI6" t="str">
            <v>A/C with heat pump heat</v>
          </cell>
          <cell r="AJ6" t="str">
            <v>Oil</v>
          </cell>
          <cell r="AK6" t="str">
            <v>Additional Contact</v>
          </cell>
          <cell r="AL6" t="str">
            <v>Direct Mail</v>
          </cell>
          <cell r="AN6" t="str">
            <v>High Eff. Packaged Terminal AC (PTAC) Unit</v>
          </cell>
          <cell r="AO6" t="str">
            <v>Anti-Sweat Heater Controls for Freezer or Cooler</v>
          </cell>
          <cell r="AP6" t="str">
            <v>ENERGY STAR Electric Convection Oven</v>
          </cell>
          <cell r="AQ6" t="str">
            <v>Window film, electric resistance heat w/AC</v>
          </cell>
          <cell r="AS6" t="str">
            <v>Low-Flow Faucet Aerators</v>
          </cell>
          <cell r="AT6" t="str">
            <v>West</v>
          </cell>
          <cell r="AU6" t="str">
            <v>West</v>
          </cell>
          <cell r="AV6" t="str">
            <v>New Equipment</v>
          </cell>
          <cell r="AW6" t="str">
            <v xml:space="preserve">New Water-Cooled Chiller </v>
          </cell>
          <cell r="AX6" t="str">
            <v>Electric resistance heat w/AC</v>
          </cell>
        </row>
        <row r="7">
          <cell r="Z7" t="str">
            <v>Partnership</v>
          </cell>
          <cell r="AA7" t="str">
            <v>Partnership</v>
          </cell>
          <cell r="AD7" t="str">
            <v>Yes-Disabled Veteran-Owned Business Enterprise (DVET)</v>
          </cell>
          <cell r="AF7" t="str">
            <v>Other</v>
          </cell>
          <cell r="AH7" t="str">
            <v>Education: K-12</v>
          </cell>
          <cell r="AI7" t="str">
            <v>A/C with no heat</v>
          </cell>
          <cell r="AJ7" t="str">
            <v>Propane</v>
          </cell>
          <cell r="AK7" t="str">
            <v>Job Site</v>
          </cell>
          <cell r="AL7" t="str">
            <v>Energy Advisor</v>
          </cell>
          <cell r="AN7" t="str">
            <v>High Eff. Packaged Terminal HP (PTHP) Unit</v>
          </cell>
          <cell r="AO7" t="str">
            <v>Refrigerated Case Night Covers</v>
          </cell>
          <cell r="AP7" t="str">
            <v>ENERGY STAR Electric Griddle</v>
          </cell>
          <cell r="AS7" t="str">
            <v>Low-Flow Shower Heads</v>
          </cell>
          <cell r="AU7" t="str">
            <v>East</v>
          </cell>
          <cell r="AW7" t="str">
            <v xml:space="preserve">New Packaged/Rooftop Unit </v>
          </cell>
        </row>
        <row r="8">
          <cell r="B8" t="str">
            <v>Version 3.1</v>
          </cell>
          <cell r="Z8" t="str">
            <v>Trust/Estate</v>
          </cell>
          <cell r="AA8" t="str">
            <v>Trust/estate</v>
          </cell>
          <cell r="AD8" t="str">
            <v>Yes-Veteran-Owned Business Enterprise (VBE)</v>
          </cell>
          <cell r="AH8" t="str">
            <v>Exterior/Outdoors/Parking Lot</v>
          </cell>
          <cell r="AI8" t="str">
            <v>Refrigerated space (33-41°F)</v>
          </cell>
          <cell r="AJ8" t="str">
            <v>Steam</v>
          </cell>
          <cell r="AL8" t="str">
            <v>Event/Trade Show</v>
          </cell>
          <cell r="AN8" t="str">
            <v>Guestroom Energy Management Controls</v>
          </cell>
          <cell r="AO8" t="str">
            <v>ENERGY STAR Solid Door Refrigerator</v>
          </cell>
          <cell r="AP8" t="str">
            <v>Food Service Kitchen Exhaust Controls</v>
          </cell>
          <cell r="AW8" t="str">
            <v xml:space="preserve">New Fan Motors (Efficient) </v>
          </cell>
        </row>
        <row r="9">
          <cell r="Z9" t="str">
            <v>Non-Profit</v>
          </cell>
          <cell r="AA9" t="str">
            <v>Exempt</v>
          </cell>
          <cell r="AD9" t="str">
            <v>Yes-Woman-Owned Business Enterprise (WBE)</v>
          </cell>
          <cell r="AH9" t="str">
            <v>Food Sales: 24-Hour Supermarket</v>
          </cell>
          <cell r="AI9" t="str">
            <v>Freezer space (-10-10°F)</v>
          </cell>
          <cell r="AJ9" t="str">
            <v>Other</v>
          </cell>
          <cell r="AL9" t="str">
            <v>Search Engine</v>
          </cell>
          <cell r="AN9" t="str">
            <v>Smart Thermostats for Small Business</v>
          </cell>
          <cell r="AO9" t="str">
            <v>ENERGY STAR Solid Door Freezer</v>
          </cell>
          <cell r="AP9" t="str">
            <v>ENERGY STAR Commercial Dishwasher</v>
          </cell>
          <cell r="AW9" t="str">
            <v xml:space="preserve">New Pump Motors (Efficient) </v>
          </cell>
        </row>
        <row r="10">
          <cell r="Z10" t="str">
            <v>Other</v>
          </cell>
          <cell r="AD10" t="str">
            <v>Yes-SBA 8(a) program</v>
          </cell>
          <cell r="AH10" t="str">
            <v>Food Sales: Non 24-Hour Supermarket</v>
          </cell>
          <cell r="AI10" t="str">
            <v>N/A (Unconditioned)</v>
          </cell>
          <cell r="AJ10" t="str">
            <v>Not Applicable</v>
          </cell>
          <cell r="AL10" t="str">
            <v>SMS Text</v>
          </cell>
          <cell r="AN10" t="str">
            <v>Commercial Duct Sealing</v>
          </cell>
          <cell r="AO10" t="str">
            <v>Strip Curtains for Walk-In Coolers</v>
          </cell>
          <cell r="AP10" t="str">
            <v>Pre-Rinse Spray Valves</v>
          </cell>
          <cell r="AW10" t="str">
            <v>New Fan Coil Unit</v>
          </cell>
        </row>
        <row r="11">
          <cell r="AD11" t="str">
            <v>Yes-SMA Small Disadvantaged Business Enterprise (SDB)</v>
          </cell>
          <cell r="AH11" t="str">
            <v>Food Service: Fast Food</v>
          </cell>
          <cell r="AL11" t="str">
            <v>Social Media</v>
          </cell>
          <cell r="AN11" t="str">
            <v>High Eff. Air-Cooled Chiller</v>
          </cell>
          <cell r="AO11" t="str">
            <v>Strip Curtains for Walk-In Freezers</v>
          </cell>
          <cell r="AW11" t="str">
            <v xml:space="preserve">New Cooling Tower </v>
          </cell>
        </row>
        <row r="12">
          <cell r="AD12" t="str">
            <v>Yes-SBA HubZone Business Enterprise (HubZone)</v>
          </cell>
          <cell r="AH12" t="str">
            <v>Food Service: Sit-Down Restaurant</v>
          </cell>
          <cell r="AL12" t="str">
            <v>Utility Website</v>
          </cell>
          <cell r="AN12" t="str">
            <v>High Eff. Positive Displacement Water-Cooled Chiller</v>
          </cell>
          <cell r="AO12" t="str">
            <v>Strip Curtains for Refrigerated Warehouse Doors</v>
          </cell>
          <cell r="AW12" t="str">
            <v>New Cooling Tower and Chiller</v>
          </cell>
        </row>
        <row r="13">
          <cell r="AD13" t="str">
            <v>Yes-LGBT-Owned Business Enterprise</v>
          </cell>
          <cell r="AH13" t="str">
            <v>Health Care: In-Patient</v>
          </cell>
          <cell r="AL13" t="str">
            <v>Other</v>
          </cell>
          <cell r="AN13" t="str">
            <v>High Eff. Centrifugal Water-Cooled Chiller</v>
          </cell>
          <cell r="AO13" t="str">
            <v>Door Gaskets - Coolers (Refrigeration)</v>
          </cell>
          <cell r="AW13" t="str">
            <v xml:space="preserve">VFD for Existing Air Handling Unit </v>
          </cell>
        </row>
        <row r="14">
          <cell r="AD14" t="str">
            <v>Yes-DBE Type Not Listed</v>
          </cell>
          <cell r="AH14" t="str">
            <v>Health Care: Nursing Home</v>
          </cell>
          <cell r="AO14" t="str">
            <v>Door Gaskets - Freezers (Refrigeration)</v>
          </cell>
          <cell r="AW14" t="str">
            <v xml:space="preserve">VFD for Existing Fan Motors </v>
          </cell>
        </row>
        <row r="15">
          <cell r="AH15" t="str">
            <v>Health Care: Out-Patient</v>
          </cell>
          <cell r="AO15" t="str">
            <v>Auto Door-Closers - Coolers (Refrigeration)</v>
          </cell>
          <cell r="AW15" t="str">
            <v xml:space="preserve">VFD for Existing Pump Motors </v>
          </cell>
        </row>
        <row r="16">
          <cell r="AH16" t="str">
            <v>Convenience Store (non-24 hour)</v>
          </cell>
          <cell r="AO16" t="str">
            <v>Auto Door-Closers - Freezers (Refrigeration)</v>
          </cell>
          <cell r="AW16" t="str">
            <v xml:space="preserve">New Air Handling Units and VFD </v>
          </cell>
        </row>
        <row r="17">
          <cell r="AH17" t="str">
            <v>Lodging (Hotel/Motel/Dorm): Common Areas</v>
          </cell>
          <cell r="AO17" t="str">
            <v>LED Refrigerated Case Lighting (without Controls)</v>
          </cell>
          <cell r="AW17" t="str">
            <v xml:space="preserve">New Pumps and VFD </v>
          </cell>
        </row>
        <row r="18">
          <cell r="AH18" t="str">
            <v>Lodging (Hotel/Motel/Dorm): Room</v>
          </cell>
          <cell r="AO18" t="str">
            <v>LED Refrigerated Case Lighting (with Controls)</v>
          </cell>
          <cell r="AW18" t="str">
            <v xml:space="preserve">Existing Chiller Control Optimization </v>
          </cell>
        </row>
        <row r="19">
          <cell r="AH19" t="str">
            <v>Manufacturing</v>
          </cell>
          <cell r="AW19" t="str">
            <v xml:space="preserve">Existing Cooling Tower Control Optimization </v>
          </cell>
        </row>
        <row r="20">
          <cell r="AH20" t="str">
            <v>Multi-family Housing: Common Areas</v>
          </cell>
          <cell r="AW20" t="str">
            <v xml:space="preserve">Existing Cooling Tower and Chiller Control Optimization </v>
          </cell>
        </row>
        <row r="21">
          <cell r="AH21" t="str">
            <v>Non-Warehouse Storage (Generic)</v>
          </cell>
          <cell r="AW21" t="str">
            <v>New Chiller and Controls Optimization</v>
          </cell>
        </row>
        <row r="22">
          <cell r="AH22" t="str">
            <v>Office</v>
          </cell>
          <cell r="AW22" t="str">
            <v>New Cooling Tower and Controls Optimization</v>
          </cell>
        </row>
        <row r="23">
          <cell r="AH23" t="str">
            <v>Office (attached to other facility)</v>
          </cell>
          <cell r="AW23" t="str">
            <v xml:space="preserve">Optimizing Process Cooling </v>
          </cell>
        </row>
        <row r="24">
          <cell r="AH24" t="str">
            <v>Parking Structure</v>
          </cell>
          <cell r="AW24" t="str">
            <v>Optimizing Process Heating</v>
          </cell>
        </row>
        <row r="25">
          <cell r="AH25" t="str">
            <v>Public Assembly</v>
          </cell>
          <cell r="AW25" t="str">
            <v>Process Heat Recovery</v>
          </cell>
        </row>
        <row r="26">
          <cell r="AH26" t="str">
            <v>Public Order and Safety</v>
          </cell>
          <cell r="AW26" t="str">
            <v xml:space="preserve">Efficient Air Compressor </v>
          </cell>
        </row>
        <row r="27">
          <cell r="AH27" t="str">
            <v>Religious Gathering</v>
          </cell>
          <cell r="AW27" t="str">
            <v xml:space="preserve">Compressed Air Optimization </v>
          </cell>
        </row>
        <row r="28">
          <cell r="AH28" t="str">
            <v>Restroom (Generic)</v>
          </cell>
          <cell r="AW28" t="str">
            <v>Upgrading Existing BAS</v>
          </cell>
        </row>
        <row r="29">
          <cell r="AH29" t="str">
            <v>Retail: Enclosed Mall</v>
          </cell>
          <cell r="AW29" t="str">
            <v xml:space="preserve">New BAS </v>
          </cell>
        </row>
        <row r="30">
          <cell r="AH30" t="str">
            <v>Retail: Freestanding</v>
          </cell>
          <cell r="AW30" t="str">
            <v xml:space="preserve">RCx of Existing BAS </v>
          </cell>
        </row>
        <row r="31">
          <cell r="AH31" t="str">
            <v>Retail: Other</v>
          </cell>
          <cell r="AW31" t="str">
            <v xml:space="preserve">Scheduling of Existing BAS </v>
          </cell>
        </row>
        <row r="32">
          <cell r="AH32" t="str">
            <v>Retail: Strip Mall</v>
          </cell>
          <cell r="AW32" t="str">
            <v xml:space="preserve">Temperature Setback of Existing BAS </v>
          </cell>
        </row>
        <row r="33">
          <cell r="AH33" t="str">
            <v>Service: Excluding Food</v>
          </cell>
          <cell r="AW33" t="str">
            <v xml:space="preserve">Demand Control Ventilation </v>
          </cell>
        </row>
        <row r="34">
          <cell r="AH34" t="str">
            <v>Warehouse: Non-Refrigerated</v>
          </cell>
          <cell r="AW34" t="str">
            <v xml:space="preserve">Combined Measures </v>
          </cell>
        </row>
        <row r="35">
          <cell r="AH35" t="str">
            <v>Warehouse: Refrigerated</v>
          </cell>
          <cell r="AW35" t="str">
            <v>Air Handler Coil Cleaning</v>
          </cell>
        </row>
        <row r="36">
          <cell r="AH36" t="str">
            <v>Other/Unknown</v>
          </cell>
          <cell r="AW36" t="str">
            <v>HVAC Custom Measure - Other</v>
          </cell>
        </row>
        <row r="37">
          <cell r="AW37" t="str">
            <v>Chiller Plant Optimization</v>
          </cell>
        </row>
        <row r="38">
          <cell r="AW38" t="str">
            <v>Cool Roof</v>
          </cell>
        </row>
        <row r="39">
          <cell r="AW39" t="str">
            <v>Roof or Wall Insulation</v>
          </cell>
        </row>
        <row r="40">
          <cell r="AW40" t="str">
            <v>Building Envelope Custom Measure - Other</v>
          </cell>
        </row>
        <row r="41">
          <cell r="AW41" t="str">
            <v>Other - Measure Type Not Listed</v>
          </cell>
        </row>
      </sheetData>
      <sheetData sheetId="13"/>
      <sheetData sheetId="14"/>
      <sheetData sheetId="15">
        <row r="1">
          <cell r="B1"/>
        </row>
        <row r="2">
          <cell r="B2"/>
        </row>
      </sheetData>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able application &amp; instruct"/>
      <sheetName val="Equipment qualifications"/>
      <sheetName val="Summary"/>
      <sheetName val="HVAC"/>
      <sheetName val="Refrigeration"/>
      <sheetName val="Food service"/>
      <sheetName val="Misc."/>
      <sheetName val="Custom"/>
      <sheetName val="Completion notice"/>
      <sheetName val="QC"/>
      <sheetName val="Printable application"/>
      <sheetName val="Lookups"/>
      <sheetName val="Savings Lookups"/>
      <sheetName val="APTracks Export Data"/>
      <sheetName val="Change Log"/>
    </sheetNames>
    <sheetDataSet>
      <sheetData sheetId="0">
        <row r="17">
          <cell r="J17" t="str">
            <v>Non-Lighting 2024 - v4.3</v>
          </cell>
        </row>
      </sheetData>
      <sheetData sheetId="1"/>
      <sheetData sheetId="2">
        <row r="12">
          <cell r="C12">
            <v>133000</v>
          </cell>
        </row>
      </sheetData>
      <sheetData sheetId="3"/>
      <sheetData sheetId="4"/>
      <sheetData sheetId="5"/>
      <sheetData sheetId="6"/>
      <sheetData sheetId="7"/>
      <sheetData sheetId="8"/>
      <sheetData sheetId="9">
        <row r="19">
          <cell r="B19">
            <v>148752.5</v>
          </cell>
          <cell r="D19">
            <v>184752.5</v>
          </cell>
        </row>
        <row r="21">
          <cell r="G21">
            <v>100000</v>
          </cell>
        </row>
      </sheetData>
      <sheetData sheetId="10"/>
      <sheetData sheetId="11">
        <row r="2">
          <cell r="AC2" t="str">
            <v>Measure Number</v>
          </cell>
          <cell r="AD2" t="str">
            <v>Measure Name</v>
          </cell>
        </row>
        <row r="3">
          <cell r="B3" t="str">
            <v>Small Commercial Solutions</v>
          </cell>
          <cell r="J3" t="str">
            <v>Equipment Type</v>
          </cell>
          <cell r="K3" t="str">
            <v>Min EER</v>
          </cell>
          <cell r="L3" t="str">
            <v>Min SEER/IEER</v>
          </cell>
          <cell r="M3" t="str">
            <v>Min Htg Eff. (HSPF)</v>
          </cell>
          <cell r="N3" t="str">
            <v>Min EER</v>
          </cell>
          <cell r="O3" t="str">
            <v>Min SEER/IEER</v>
          </cell>
          <cell r="P3" t="str">
            <v>Min Htg Eff. (HSPF)</v>
          </cell>
          <cell r="Q3" t="str">
            <v>Min</v>
          </cell>
          <cell r="R3" t="str">
            <v>Max</v>
          </cell>
          <cell r="T3" t="str">
            <v>Cooler (medium-temp.)</v>
          </cell>
          <cell r="V3" t="str">
            <v>Electric/Electric</v>
          </cell>
          <cell r="Y3" t="str">
            <v>Prison</v>
          </cell>
          <cell r="AA3" t="str">
            <v>Retrofit</v>
          </cell>
          <cell r="AC3"/>
          <cell r="AD3"/>
        </row>
        <row r="4">
          <cell r="B4" t="str">
            <v>Large Commercial &amp; Industrial Solutions</v>
          </cell>
          <cell r="J4" t="str">
            <v>A/C Unit (&lt; 5.42 Tons) - Min. efficiency of 12.3 EER/14.5 SEER2</v>
          </cell>
          <cell r="K4">
            <v>11.8</v>
          </cell>
          <cell r="L4">
            <v>13.4</v>
          </cell>
          <cell r="M4"/>
          <cell r="N4">
            <v>12.3</v>
          </cell>
          <cell r="O4">
            <v>14.5</v>
          </cell>
          <cell r="P4"/>
          <cell r="Q4">
            <v>0</v>
          </cell>
          <cell r="R4">
            <v>5.4199900000000003</v>
          </cell>
          <cell r="T4" t="str">
            <v>Freezer (low temp.)</v>
          </cell>
          <cell r="V4" t="str">
            <v>Gas/Electric</v>
          </cell>
          <cell r="Y4" t="str">
            <v>Hospital, Nursing Home</v>
          </cell>
          <cell r="AA4" t="str">
            <v>New Construction</v>
          </cell>
          <cell r="AC4">
            <v>202725</v>
          </cell>
          <cell r="AD4" t="str">
            <v>202725-HVAC-Demand Control Ventilation Replacing No Existing Equipment or Failed Equipment</v>
          </cell>
        </row>
        <row r="5">
          <cell r="J5" t="str">
            <v>A/C Unit (5.42 - 11.24 Tons) - Min. efficiency 12.2 EER/14.8 SEER</v>
          </cell>
          <cell r="K5">
            <v>11.1</v>
          </cell>
          <cell r="L5">
            <v>14.7</v>
          </cell>
          <cell r="M5"/>
          <cell r="N5">
            <v>12.2</v>
          </cell>
          <cell r="O5">
            <v>14.8</v>
          </cell>
          <cell r="P5"/>
          <cell r="Q5">
            <v>5.42</v>
          </cell>
          <cell r="R5">
            <v>11.24</v>
          </cell>
          <cell r="Y5" t="str">
            <v>Dormitory</v>
          </cell>
          <cell r="AC5">
            <v>202730</v>
          </cell>
          <cell r="AD5" t="str">
            <v>202730-HVAC-Demand Control Ventilation Replacing Existing Equipment</v>
          </cell>
        </row>
        <row r="6">
          <cell r="B6" t="str">
            <v>Measure Name</v>
          </cell>
          <cell r="C6" t="str">
            <v>Incentive - SC</v>
          </cell>
          <cell r="D6" t="str">
            <v>Incentive - LC</v>
          </cell>
          <cell r="E6" t="str">
            <v>Metric</v>
          </cell>
          <cell r="F6" t="str">
            <v>Measure Number</v>
          </cell>
          <cell r="G6" t="str">
            <v>Type</v>
          </cell>
          <cell r="J6" t="str">
            <v>A/C Unit (11.25 - 19.9 Tons) - Min. efficiency 12.2 EER/14.8 SEER</v>
          </cell>
          <cell r="K6">
            <v>10.9</v>
          </cell>
          <cell r="L6">
            <v>14.1</v>
          </cell>
          <cell r="M6"/>
          <cell r="N6">
            <v>12.2</v>
          </cell>
          <cell r="O6">
            <v>14.8</v>
          </cell>
          <cell r="P6"/>
          <cell r="Q6">
            <v>11.25</v>
          </cell>
          <cell r="R6">
            <v>19.998999999999999</v>
          </cell>
          <cell r="Y6" t="str">
            <v>Multifamily</v>
          </cell>
          <cell r="AC6">
            <v>202825</v>
          </cell>
          <cell r="AD6" t="str">
            <v>202825-HVAC-HVAC Controls / EMS Replacing No Existing Equipment or Failed Equipment</v>
          </cell>
        </row>
        <row r="7">
          <cell r="B7" t="str">
            <v>A/C Unit (&lt; 5.42 Tons) - Min. efficiency of 12.3 EER/14.5 SEER2</v>
          </cell>
          <cell r="C7">
            <v>18</v>
          </cell>
          <cell r="D7">
            <v>17</v>
          </cell>
          <cell r="E7" t="str">
            <v>Ton</v>
          </cell>
          <cell r="F7">
            <v>228030</v>
          </cell>
          <cell r="G7" t="str">
            <v>HVAC</v>
          </cell>
          <cell r="J7" t="str">
            <v>A/C Unit (&gt;= 20 Tons) - Min. efficiency 10.8 EER/13.5 SEER</v>
          </cell>
          <cell r="K7">
            <v>9.9</v>
          </cell>
          <cell r="L7">
            <v>13.1</v>
          </cell>
          <cell r="M7"/>
          <cell r="N7">
            <v>10.8</v>
          </cell>
          <cell r="O7">
            <v>13.5</v>
          </cell>
          <cell r="P7"/>
          <cell r="Q7">
            <v>20</v>
          </cell>
          <cell r="R7">
            <v>999999</v>
          </cell>
          <cell r="V7" t="str">
            <v>Half-Size</v>
          </cell>
          <cell r="Y7" t="str">
            <v>Lodging</v>
          </cell>
          <cell r="AA7" t="str">
            <v>VFD's/Motors</v>
          </cell>
          <cell r="AC7">
            <v>202830</v>
          </cell>
          <cell r="AD7" t="str">
            <v>202830-HVAC-HVAC Controls / EMS Replacing Existing Equipment</v>
          </cell>
        </row>
        <row r="8">
          <cell r="B8" t="str">
            <v>A/C Unit (5.42 - 11.24 Tons) - Min. efficiency 12.2 EER/14.8 SEER</v>
          </cell>
          <cell r="C8">
            <v>45</v>
          </cell>
          <cell r="D8">
            <v>42</v>
          </cell>
          <cell r="E8" t="str">
            <v>Ton</v>
          </cell>
          <cell r="F8">
            <v>228130</v>
          </cell>
          <cell r="G8" t="str">
            <v>HVAC</v>
          </cell>
          <cell r="J8" t="str">
            <v>Heat Pump (&lt; 5.42 Tons) - Min. efficiency 12.3 EER/14.5 SEER2/8.0 HSPF2</v>
          </cell>
          <cell r="K8">
            <v>11.8</v>
          </cell>
          <cell r="L8">
            <v>13.4</v>
          </cell>
          <cell r="M8">
            <v>7.1</v>
          </cell>
          <cell r="N8">
            <v>12.3</v>
          </cell>
          <cell r="O8">
            <v>14.5</v>
          </cell>
          <cell r="P8">
            <v>8</v>
          </cell>
          <cell r="Q8">
            <v>0</v>
          </cell>
          <cell r="R8">
            <v>5.4199900000000003</v>
          </cell>
          <cell r="V8" t="str">
            <v>Full-Size</v>
          </cell>
          <cell r="Y8" t="str">
            <v>Commercial</v>
          </cell>
          <cell r="AA8" t="str">
            <v>Fans/Pumps</v>
          </cell>
          <cell r="AC8">
            <v>202925</v>
          </cell>
          <cell r="AD8" t="str">
            <v>202925-HVAC-Advanced RTU Compressor Controller Replacing No Existing Equipment or Failed Equipment</v>
          </cell>
        </row>
        <row r="9">
          <cell r="B9" t="str">
            <v>A/C Unit (11.25 - 19.9 Tons) - Min. efficiency 12.2 EER/14.8 SEER</v>
          </cell>
          <cell r="C9">
            <v>70</v>
          </cell>
          <cell r="D9">
            <v>66</v>
          </cell>
          <cell r="E9" t="str">
            <v>Ton</v>
          </cell>
          <cell r="F9">
            <v>228230</v>
          </cell>
          <cell r="G9" t="str">
            <v>HVAC</v>
          </cell>
          <cell r="J9" t="str">
            <v>Heat Pump (5.42 - 11.24 Tons) - Min. efficiency 11.3 EER/14.5 SEER/12.0 HSPF</v>
          </cell>
          <cell r="K9">
            <v>10.9</v>
          </cell>
          <cell r="L9">
            <v>14</v>
          </cell>
          <cell r="M9">
            <v>11.6008</v>
          </cell>
          <cell r="N9">
            <v>11.3</v>
          </cell>
          <cell r="O9">
            <v>14.5</v>
          </cell>
          <cell r="P9">
            <v>12</v>
          </cell>
          <cell r="Q9">
            <v>5.42</v>
          </cell>
          <cell r="R9">
            <v>11.24</v>
          </cell>
          <cell r="Y9" t="str">
            <v>School</v>
          </cell>
          <cell r="AA9" t="str">
            <v>HVAC - DX, Packaged/Rooftop Units</v>
          </cell>
          <cell r="AC9">
            <v>202930</v>
          </cell>
          <cell r="AD9" t="str">
            <v>202930-HVAC-Advanced RTU Compressor Controller Replacing Existing Equipment</v>
          </cell>
        </row>
        <row r="10">
          <cell r="B10" t="str">
            <v>A/C Unit (&gt;= 20 Tons) - Min. efficiency 10.8 EER/13.5 SEER</v>
          </cell>
          <cell r="C10">
            <v>46</v>
          </cell>
          <cell r="D10">
            <v>43</v>
          </cell>
          <cell r="E10" t="str">
            <v>Ton</v>
          </cell>
          <cell r="F10">
            <v>228330</v>
          </cell>
          <cell r="G10" t="str">
            <v>HVAC</v>
          </cell>
          <cell r="J10" t="str">
            <v>Heat Pump (11.25 - 19.9 Tons) - Min. efficiency 10.9 EER/14.0 SEER/12.0 HSPF</v>
          </cell>
          <cell r="K10">
            <v>10.5</v>
          </cell>
          <cell r="L10">
            <v>13.4</v>
          </cell>
          <cell r="M10">
            <v>11.259599999999999</v>
          </cell>
          <cell r="N10">
            <v>10.9</v>
          </cell>
          <cell r="O10">
            <v>14</v>
          </cell>
          <cell r="P10">
            <v>12</v>
          </cell>
          <cell r="Q10">
            <v>11.25</v>
          </cell>
          <cell r="R10">
            <v>19.9999</v>
          </cell>
          <cell r="Y10" t="str">
            <v>Other</v>
          </cell>
          <cell r="AA10" t="str">
            <v>HVAC - Chillers</v>
          </cell>
          <cell r="AC10">
            <v>203025</v>
          </cell>
          <cell r="AD10" t="str">
            <v>203025-HVAC-Air Cooled Chiller Replacing No Existing Equipment or Failed Equipment</v>
          </cell>
        </row>
        <row r="11">
          <cell r="B11" t="str">
            <v>Heat Pump (&lt; 5.42 Tons) - Min. efficiency 12.3 EER/14.5 SEER2/8.0 HSPF2</v>
          </cell>
          <cell r="C11">
            <v>45</v>
          </cell>
          <cell r="D11">
            <v>42</v>
          </cell>
          <cell r="E11" t="str">
            <v>Ton</v>
          </cell>
          <cell r="F11">
            <v>228430</v>
          </cell>
          <cell r="G11" t="str">
            <v>HVAC</v>
          </cell>
          <cell r="J11" t="str">
            <v>Heat Pump (&gt;= 20 Tons) - Min. efficiency 10.3 EER/13.0 SEER/12.0 HSPF</v>
          </cell>
          <cell r="K11">
            <v>9.4</v>
          </cell>
          <cell r="L11">
            <v>12.4</v>
          </cell>
          <cell r="M11">
            <v>10.9184</v>
          </cell>
          <cell r="N11">
            <v>10.3</v>
          </cell>
          <cell r="O11">
            <v>13</v>
          </cell>
          <cell r="P11">
            <v>12</v>
          </cell>
          <cell r="Q11">
            <v>20</v>
          </cell>
          <cell r="R11">
            <v>999999</v>
          </cell>
          <cell r="AA11" t="str">
            <v>Compressed Air</v>
          </cell>
          <cell r="AC11">
            <v>203030</v>
          </cell>
          <cell r="AD11" t="str">
            <v>203030-HVAC-Air Cooled Chiller Replacing Existing Equipment</v>
          </cell>
        </row>
        <row r="12">
          <cell r="B12" t="str">
            <v>Heat Pump (5.42 - 11.24 Tons) - Min. efficiency 11.3 EER/14.5 SEER/12.0 HSPF</v>
          </cell>
          <cell r="C12">
            <v>32</v>
          </cell>
          <cell r="D12">
            <v>30</v>
          </cell>
          <cell r="E12" t="str">
            <v>Ton</v>
          </cell>
          <cell r="F12">
            <v>228530</v>
          </cell>
          <cell r="G12" t="str">
            <v>HVAC</v>
          </cell>
          <cell r="AA12" t="str">
            <v>Process Cooling</v>
          </cell>
          <cell r="AC12">
            <v>203125</v>
          </cell>
          <cell r="AD12" t="str">
            <v>203125-HVAC-Water Cooled Chiller Replacing No Existing Equipment or Failed Equipment</v>
          </cell>
        </row>
        <row r="13">
          <cell r="B13" t="str">
            <v>Heat Pump (11.25 - 19.9 Tons) - Min. efficiency 10.9 EER/14.0 SEER/12.0 HSPF</v>
          </cell>
          <cell r="C13">
            <v>39</v>
          </cell>
          <cell r="D13">
            <v>37</v>
          </cell>
          <cell r="E13" t="str">
            <v>Ton</v>
          </cell>
          <cell r="F13">
            <v>228630</v>
          </cell>
          <cell r="G13" t="str">
            <v>HVAC</v>
          </cell>
          <cell r="J13" t="str">
            <v>Building Type</v>
          </cell>
          <cell r="K13" t="str">
            <v>EFLHc</v>
          </cell>
          <cell r="L13" t="str">
            <v>EFLHh</v>
          </cell>
          <cell r="M13" t="str">
            <v>CF</v>
          </cell>
          <cell r="Y13" t="str">
            <v>Fast Food</v>
          </cell>
          <cell r="AA13" t="str">
            <v xml:space="preserve">Process Heating </v>
          </cell>
          <cell r="AC13">
            <v>203130</v>
          </cell>
          <cell r="AD13" t="str">
            <v>203130-HVAC-Water Cooled Chiller Replacing Existing Equipment</v>
          </cell>
        </row>
        <row r="14">
          <cell r="B14" t="str">
            <v>Heat Pump (&gt;= 20 Tons) - Min. efficiency 10.3 EER/13.0 SEER/12.0 HSPF</v>
          </cell>
          <cell r="C14">
            <v>69</v>
          </cell>
          <cell r="D14">
            <v>64</v>
          </cell>
          <cell r="E14" t="str">
            <v>Ton</v>
          </cell>
          <cell r="F14">
            <v>228730</v>
          </cell>
          <cell r="G14" t="str">
            <v>HVAC</v>
          </cell>
          <cell r="J14" t="str">
            <v>Assembly</v>
          </cell>
          <cell r="K14">
            <v>2624.4331596223719</v>
          </cell>
          <cell r="L14">
            <v>514.54553052325582</v>
          </cell>
          <cell r="M14">
            <v>0.82</v>
          </cell>
          <cell r="Y14" t="str">
            <v>Casual Dining</v>
          </cell>
          <cell r="AA14" t="str">
            <v xml:space="preserve">Process Heat Recovery </v>
          </cell>
          <cell r="AC14">
            <v>203225</v>
          </cell>
          <cell r="AD14" t="str">
            <v>203225-HVAC-Cooling Only HVAC Equipment Replacing No Existing Equipment or Failed Equipment</v>
          </cell>
        </row>
        <row r="15">
          <cell r="B15" t="str">
            <v xml:space="preserve">Guest Room Energy Management Controls </v>
          </cell>
          <cell r="C15">
            <v>90</v>
          </cell>
          <cell r="D15">
            <v>80</v>
          </cell>
          <cell r="E15" t="str">
            <v>Room</v>
          </cell>
          <cell r="F15">
            <v>228825</v>
          </cell>
          <cell r="G15" t="str">
            <v>HVAC</v>
          </cell>
          <cell r="J15" t="str">
            <v>Fast Food</v>
          </cell>
          <cell r="K15">
            <v>1790.5345410769364</v>
          </cell>
          <cell r="L15">
            <v>193.80179162328227</v>
          </cell>
          <cell r="M15">
            <v>0.78</v>
          </cell>
          <cell r="Y15" t="str">
            <v>Institutional</v>
          </cell>
          <cell r="AA15" t="str">
            <v>Building Automation System</v>
          </cell>
          <cell r="AC15">
            <v>203230</v>
          </cell>
          <cell r="AD15" t="str">
            <v>203230-HVAC-Cooling Only HVAC Equipment Replacing Existing Equipment</v>
          </cell>
        </row>
        <row r="16">
          <cell r="B16"/>
          <cell r="C16"/>
          <cell r="D16"/>
          <cell r="E16"/>
          <cell r="F16"/>
          <cell r="G16"/>
          <cell r="J16" t="str">
            <v>Grocery</v>
          </cell>
          <cell r="K16">
            <v>1654.6710198226535</v>
          </cell>
          <cell r="L16">
            <v>503.33976072849578</v>
          </cell>
          <cell r="M16">
            <v>0.9</v>
          </cell>
          <cell r="Y16" t="str">
            <v>Dormitory</v>
          </cell>
          <cell r="AA16" t="str">
            <v>Other (describe)</v>
          </cell>
          <cell r="AC16">
            <v>203325</v>
          </cell>
          <cell r="AD16" t="str">
            <v>203325-HVAC-Packaged / Rooftop Unit Replacing No Existing Equipment or Failed Equipment</v>
          </cell>
        </row>
        <row r="17">
          <cell r="B17"/>
          <cell r="C17"/>
          <cell r="D17"/>
          <cell r="E17"/>
          <cell r="F17"/>
          <cell r="G17"/>
          <cell r="J17" t="str">
            <v>Health Clinic</v>
          </cell>
          <cell r="K17">
            <v>1590.6637476836327</v>
          </cell>
          <cell r="L17">
            <v>541.95837030364612</v>
          </cell>
          <cell r="M17">
            <v>0.85</v>
          </cell>
          <cell r="Y17" t="str">
            <v>K-12 School</v>
          </cell>
          <cell r="AC17">
            <v>203330</v>
          </cell>
          <cell r="AD17" t="str">
            <v>203330-HVAC-Packaged / Rooftop Unit Replacing Existing Equipment</v>
          </cell>
        </row>
        <row r="18">
          <cell r="B18" t="str">
            <v>Duct Sealing</v>
          </cell>
          <cell r="C18">
            <v>0.7</v>
          </cell>
          <cell r="D18">
            <v>0.65</v>
          </cell>
          <cell r="E18" t="str">
            <v>CFM Reduced</v>
          </cell>
          <cell r="F18">
            <v>829025</v>
          </cell>
          <cell r="G18" t="str">
            <v>HVAC</v>
          </cell>
          <cell r="J18" t="str">
            <v>Office</v>
          </cell>
          <cell r="K18">
            <v>2133.2805663789318</v>
          </cell>
          <cell r="L18">
            <v>445.94919311647766</v>
          </cell>
          <cell r="M18">
            <v>0.84</v>
          </cell>
          <cell r="Y18" t="str">
            <v>Other</v>
          </cell>
          <cell r="AC18">
            <v>203425</v>
          </cell>
          <cell r="AD18" t="str">
            <v>203425-HVAC-Chiller Control Optimization Replacing No Existing Equipment or Failed Equipment</v>
          </cell>
        </row>
        <row r="19">
          <cell r="B19" t="str">
            <v>Air Cooled Chiller &lt;150 Tons (min. eff. of 1.18 kW/ton full load and 0.76 kW/ton IPLV)</v>
          </cell>
          <cell r="C19">
            <v>67</v>
          </cell>
          <cell r="D19">
            <v>63</v>
          </cell>
          <cell r="E19" t="str">
            <v>Ton</v>
          </cell>
          <cell r="F19">
            <v>229130</v>
          </cell>
          <cell r="G19" t="str">
            <v>HVAC</v>
          </cell>
          <cell r="J19" t="str">
            <v>Lodging</v>
          </cell>
          <cell r="K19">
            <v>1506.1554912739043</v>
          </cell>
          <cell r="L19">
            <v>329.42162368567841</v>
          </cell>
          <cell r="M19">
            <v>0.77</v>
          </cell>
          <cell r="AC19">
            <v>203430</v>
          </cell>
          <cell r="AD19" t="str">
            <v>203430-HVAC-Chiller Control Optimization Replacing Existing Equipment</v>
          </cell>
        </row>
        <row r="20">
          <cell r="B20" t="str">
            <v>Air Cooled Chiller &gt;=150 Tons (min. eff. of 1.18 kW/ton full load and 0.75 kW/ton IPLV)</v>
          </cell>
          <cell r="C20">
            <v>65</v>
          </cell>
          <cell r="D20">
            <v>61</v>
          </cell>
          <cell r="E20" t="str">
            <v>Ton</v>
          </cell>
          <cell r="F20">
            <v>229230</v>
          </cell>
          <cell r="G20" t="str">
            <v>HVAC</v>
          </cell>
          <cell r="J20" t="str">
            <v>Full Menu Restaurant</v>
          </cell>
          <cell r="K20">
            <v>2308.8152919500835</v>
          </cell>
          <cell r="L20">
            <v>122.74113753967957</v>
          </cell>
          <cell r="M20">
            <v>0.85</v>
          </cell>
          <cell r="AC20">
            <v>203525</v>
          </cell>
          <cell r="AD20" t="str">
            <v>203525-HVAC-VFD for Chiller Replacing No Existing Equipment or Failed Equipment</v>
          </cell>
        </row>
        <row r="21">
          <cell r="B21" t="str">
            <v>Water Cooled Screw/Scroll Chiller &lt;75 Tons (min. eff. of 0.74 kW/ton full load and 0.50 kW/ton IPLV)</v>
          </cell>
          <cell r="C21">
            <v>43</v>
          </cell>
          <cell r="D21">
            <v>41</v>
          </cell>
          <cell r="E21" t="str">
            <v>Ton</v>
          </cell>
          <cell r="F21">
            <v>229330</v>
          </cell>
          <cell r="G21" t="str">
            <v>HVAC</v>
          </cell>
          <cell r="J21" t="str">
            <v>Religious Worship</v>
          </cell>
          <cell r="K21">
            <v>2340.7809886765726</v>
          </cell>
          <cell r="L21">
            <v>481.0791545542636</v>
          </cell>
          <cell r="M21">
            <v>0.82</v>
          </cell>
          <cell r="T21" t="str">
            <v>0 - 15 cu. ft.</v>
          </cell>
          <cell r="Y21" t="str">
            <v>Hospital</v>
          </cell>
          <cell r="AC21">
            <v>203625</v>
          </cell>
          <cell r="AD21" t="str">
            <v>203625-HVAC-VFD for Fan Replacing No Existing Equipment or Failed Equipment</v>
          </cell>
        </row>
        <row r="22">
          <cell r="B22" t="str">
            <v>Water Cooled Screw/Scroll Chiller &gt;= 75 and &lt;150 Tons (min. eff. of 0.71 kW/ton full load and 0.49 kW/ton IPLV)</v>
          </cell>
          <cell r="C22">
            <v>42</v>
          </cell>
          <cell r="D22">
            <v>39</v>
          </cell>
          <cell r="E22" t="str">
            <v>Ton</v>
          </cell>
          <cell r="F22">
            <v>229430</v>
          </cell>
          <cell r="G22" t="str">
            <v>HVAC</v>
          </cell>
          <cell r="J22" t="str">
            <v>Retail</v>
          </cell>
          <cell r="K22">
            <v>1640.8270712051362</v>
          </cell>
          <cell r="L22">
            <v>658.00073682484617</v>
          </cell>
          <cell r="M22">
            <v>0.88</v>
          </cell>
          <cell r="T22" t="str">
            <v>15 - 30 cu. ft</v>
          </cell>
          <cell r="Y22" t="str">
            <v>Lodging</v>
          </cell>
          <cell r="AC22">
            <v>203725</v>
          </cell>
          <cell r="AD22" t="str">
            <v>203725-HVAC-PTAC Unit Replacing No Existing Equipment or Failed Equipment</v>
          </cell>
        </row>
        <row r="23">
          <cell r="B23" t="str">
            <v>Water Cooled Screw/Scroll Chiller &gt;=150 Tons and &lt;300 Tons (min. eff. of 0.65 kW/ton full load and 0.44 kW/ton IPLV)</v>
          </cell>
          <cell r="C23">
            <v>47</v>
          </cell>
          <cell r="D23">
            <v>44</v>
          </cell>
          <cell r="E23" t="str">
            <v>Ton</v>
          </cell>
          <cell r="F23">
            <v>229530</v>
          </cell>
          <cell r="G23" t="str">
            <v>HVAC</v>
          </cell>
          <cell r="J23" t="str">
            <v>School</v>
          </cell>
          <cell r="K23">
            <v>1545.2570168203831</v>
          </cell>
          <cell r="L23">
            <v>480.02004704589683</v>
          </cell>
          <cell r="M23">
            <v>0.71</v>
          </cell>
          <cell r="T23" t="str">
            <v>30 - 50 cu. ft.</v>
          </cell>
          <cell r="Y23" t="str">
            <v>Commercial</v>
          </cell>
          <cell r="AC23">
            <v>203730</v>
          </cell>
          <cell r="AD23" t="str">
            <v>203730-HVAC-PTAC Unit Replacing Existing Equipment</v>
          </cell>
        </row>
        <row r="24">
          <cell r="B24" t="str">
            <v>Water Cooled Screw/Scroll Chiller &gt;=300 Tons (min. eff. of 0.57 kW/ton full load and 0.41 kW/ton IPLV)</v>
          </cell>
          <cell r="C24">
            <v>43</v>
          </cell>
          <cell r="D24">
            <v>41</v>
          </cell>
          <cell r="E24" t="str">
            <v>Ton</v>
          </cell>
          <cell r="F24">
            <v>229630</v>
          </cell>
          <cell r="G24" t="str">
            <v>HVAC</v>
          </cell>
          <cell r="J24" t="str">
            <v>University</v>
          </cell>
          <cell r="K24">
            <v>1647.2297631629247</v>
          </cell>
          <cell r="L24">
            <v>591.637182064895</v>
          </cell>
          <cell r="M24">
            <v>0.84</v>
          </cell>
          <cell r="T24" t="str">
            <v>≥ 50 cu. ft.</v>
          </cell>
          <cell r="Y24" t="str">
            <v>Fitness Center</v>
          </cell>
          <cell r="AC24">
            <v>203825</v>
          </cell>
          <cell r="AD24" t="str">
            <v>203825-HVAC-CRAC Unit Replacing No Existing Equipment or Failed Equipment</v>
          </cell>
        </row>
        <row r="25">
          <cell r="B25" t="str">
            <v>Water Cooled Centrifugal &lt;300 Tons (min. eff. of 0.60 kW/ton full load and 0.40 kW/ton IPLV)</v>
          </cell>
          <cell r="C25">
            <v>66</v>
          </cell>
          <cell r="D25">
            <v>61</v>
          </cell>
          <cell r="E25" t="str">
            <v>Ton</v>
          </cell>
          <cell r="F25">
            <v>229730</v>
          </cell>
          <cell r="G25" t="str">
            <v>HVAC</v>
          </cell>
          <cell r="J25" t="str">
            <v>All Other</v>
          </cell>
          <cell r="K25">
            <v>1909.6607686710386</v>
          </cell>
          <cell r="L25">
            <v>442.37031009390796</v>
          </cell>
          <cell r="M25">
            <v>0.82363636363636372</v>
          </cell>
          <cell r="Y25" t="str">
            <v>School</v>
          </cell>
          <cell r="AC25">
            <v>203830</v>
          </cell>
          <cell r="AD25" t="str">
            <v>203830-HVAC-CRAC Unit Replacing Existing Equipment</v>
          </cell>
        </row>
        <row r="26">
          <cell r="B26" t="str">
            <v>Water Cooled Centrifugal &gt;=300 and &lt;600 Tons (min. eff. of 0.55 kW/ton full load and 0.39 kW/ton IPLV)</v>
          </cell>
          <cell r="C26">
            <v>56</v>
          </cell>
          <cell r="D26">
            <v>53</v>
          </cell>
          <cell r="E26" t="str">
            <v>Ton</v>
          </cell>
          <cell r="F26">
            <v>229830</v>
          </cell>
          <cell r="G26" t="str">
            <v>HVAC</v>
          </cell>
          <cell r="Y26" t="str">
            <v>Other</v>
          </cell>
          <cell r="AC26">
            <v>203925</v>
          </cell>
          <cell r="AD26" t="str">
            <v>203925-HVAC-Ground Source Heat Pump Replacing No Existing Equipment or Failed Equipment</v>
          </cell>
        </row>
        <row r="27">
          <cell r="B27" t="str">
            <v>Water Cooled Centrifugal &gt;=600 Tons (min. eff. of 0.55 kW/ton full load and 0.38 kW/ton IPLV)</v>
          </cell>
          <cell r="C27">
            <v>53</v>
          </cell>
          <cell r="D27">
            <v>50</v>
          </cell>
          <cell r="E27" t="str">
            <v>Ton</v>
          </cell>
          <cell r="F27">
            <v>229930</v>
          </cell>
          <cell r="G27" t="str">
            <v>HVAC</v>
          </cell>
          <cell r="J27"/>
          <cell r="K27"/>
          <cell r="L27"/>
          <cell r="M27"/>
          <cell r="N27"/>
          <cell r="O27"/>
          <cell r="P27"/>
          <cell r="AC27">
            <v>203930</v>
          </cell>
          <cell r="AD27" t="str">
            <v>203930-HVAC-Ground Source Heat Pump Replacing Existing Equipment</v>
          </cell>
        </row>
        <row r="28">
          <cell r="B28" t="str">
            <v>ECM Motors (HVAC)</v>
          </cell>
          <cell r="C28">
            <v>57</v>
          </cell>
          <cell r="D28">
            <v>53</v>
          </cell>
          <cell r="E28" t="str">
            <v>Fan</v>
          </cell>
          <cell r="F28">
            <v>220125</v>
          </cell>
          <cell r="G28" t="str">
            <v>HVAC</v>
          </cell>
          <cell r="AC28">
            <v>204025</v>
          </cell>
          <cell r="AD28" t="str">
            <v>204025-HVAC-Water Loop Heat Pump Replacing No Existing Equipment or Failed Equipment</v>
          </cell>
        </row>
        <row r="29">
          <cell r="B29" t="str">
            <v>ECM Motors (Refrigeration)</v>
          </cell>
          <cell r="C29">
            <v>133</v>
          </cell>
          <cell r="D29">
            <v>125</v>
          </cell>
          <cell r="E29" t="str">
            <v>Fan</v>
          </cell>
          <cell r="F29">
            <v>420125</v>
          </cell>
          <cell r="G29" t="str">
            <v>Food Service/Retail/Refrigeration</v>
          </cell>
          <cell r="J29"/>
          <cell r="K29"/>
          <cell r="L29"/>
          <cell r="M29"/>
          <cell r="N29"/>
          <cell r="O29"/>
          <cell r="P29"/>
          <cell r="AC29">
            <v>204030</v>
          </cell>
          <cell r="AD29" t="str">
            <v>204030-HVAC-Water Loop Heat Pump Replacing Existing Equipment</v>
          </cell>
        </row>
        <row r="30">
          <cell r="B30" t="str">
            <v>Evaporator Fan Controllers (Refrigeration)</v>
          </cell>
          <cell r="C30">
            <v>65</v>
          </cell>
          <cell r="D30">
            <v>60</v>
          </cell>
          <cell r="E30" t="str">
            <v>Fan</v>
          </cell>
          <cell r="F30">
            <v>420225</v>
          </cell>
          <cell r="G30" t="str">
            <v>Food Service/Retail/Refrigeration</v>
          </cell>
          <cell r="J30"/>
          <cell r="K30"/>
          <cell r="L30"/>
          <cell r="M30"/>
          <cell r="N30"/>
          <cell r="O30"/>
          <cell r="P30"/>
          <cell r="AC30">
            <v>204125</v>
          </cell>
          <cell r="AD30" t="str">
            <v>204125-HVAC-ECM Motor for HVAC Replacing No Existing Equipment or Failed Equipment</v>
          </cell>
        </row>
        <row r="31">
          <cell r="B31" t="str">
            <v>Anti-Sweat Heater Controls (Refrigeration)</v>
          </cell>
          <cell r="C31">
            <v>40</v>
          </cell>
          <cell r="D31">
            <v>35</v>
          </cell>
          <cell r="E31" t="str">
            <v>Linear Ft.</v>
          </cell>
          <cell r="F31">
            <v>420325</v>
          </cell>
          <cell r="G31" t="str">
            <v>Food Service/Retail/Refrigeration</v>
          </cell>
          <cell r="T31" t="str">
            <v>Supermarket – Cooler</v>
          </cell>
          <cell r="AC31">
            <v>204130</v>
          </cell>
          <cell r="AD31" t="str">
            <v>204130-HVAC-ECM Motor for HVAC Replacing Existing Equipment</v>
          </cell>
        </row>
        <row r="32">
          <cell r="B32" t="str">
            <v>Night Cover (Refrigeration)</v>
          </cell>
          <cell r="C32">
            <v>20</v>
          </cell>
          <cell r="D32">
            <v>20</v>
          </cell>
          <cell r="E32" t="str">
            <v>Linear Ft.</v>
          </cell>
          <cell r="F32">
            <v>420425</v>
          </cell>
          <cell r="G32" t="str">
            <v>Food Service/Retail/Refrigeration</v>
          </cell>
          <cell r="T32" t="str">
            <v>Supermarket – Freezer</v>
          </cell>
          <cell r="AC32">
            <v>217130</v>
          </cell>
          <cell r="AD32" t="str">
            <v>217130-Ventilation-Efficient Circulation Fans Replacing Existing Equipment</v>
          </cell>
        </row>
        <row r="33">
          <cell r="B33" t="str">
            <v>Solid Door Reach-Ins (Refrigeration)</v>
          </cell>
          <cell r="C33">
            <v>65</v>
          </cell>
          <cell r="D33">
            <v>60</v>
          </cell>
          <cell r="E33" t="str">
            <v>Unit</v>
          </cell>
          <cell r="F33">
            <v>420525</v>
          </cell>
          <cell r="G33" t="str">
            <v>Food Service/Retail/Refrigeration</v>
          </cell>
          <cell r="J33" t="str">
            <v>Prescriptive Measure</v>
          </cell>
          <cell r="K33" t="str">
            <v>FL kW/ton</v>
          </cell>
          <cell r="L33" t="str">
            <v>IPLV kW/ton</v>
          </cell>
          <cell r="M33" t="str">
            <v>FL kW/ton</v>
          </cell>
          <cell r="N33" t="str">
            <v>IPLV kW/ton</v>
          </cell>
          <cell r="O33" t="str">
            <v>Min</v>
          </cell>
          <cell r="P33" t="str">
            <v>Max</v>
          </cell>
          <cell r="T33" t="str">
            <v>Convenience Store - Cooler</v>
          </cell>
          <cell r="AC33">
            <v>217230</v>
          </cell>
          <cell r="AD33" t="str">
            <v>217230-Ventilation-Efficient Ventilation/Exhaust Fans Replacing Existing Equipment</v>
          </cell>
        </row>
        <row r="34">
          <cell r="B34" t="str">
            <v>Strip Curtains (Refrigeration)</v>
          </cell>
          <cell r="C34">
            <v>12</v>
          </cell>
          <cell r="D34">
            <v>10</v>
          </cell>
          <cell r="E34" t="str">
            <v>Sq.Ft.</v>
          </cell>
          <cell r="F34">
            <v>420625</v>
          </cell>
          <cell r="G34" t="str">
            <v>Food Service/Retail/Refrigeration</v>
          </cell>
          <cell r="J34" t="str">
            <v>SELECT CHILLER MEASURE FROM DROPDOWN</v>
          </cell>
          <cell r="K34"/>
          <cell r="L34"/>
          <cell r="M34"/>
          <cell r="N34"/>
          <cell r="O34"/>
          <cell r="P34"/>
          <cell r="T34" t="str">
            <v>Convenience Store - Freezer</v>
          </cell>
          <cell r="AC34">
            <v>217330</v>
          </cell>
          <cell r="AD34" t="str">
            <v>217330-Ventilation-High-Volume-Low-Speed (HVLS) Fans Replacing Existing Equipment</v>
          </cell>
        </row>
        <row r="35">
          <cell r="B35" t="str">
            <v>Commercial dishwasher - ENERGY STAR® - Under counter</v>
          </cell>
          <cell r="C35">
            <v>418</v>
          </cell>
          <cell r="D35">
            <v>392</v>
          </cell>
          <cell r="E35" t="str">
            <v>Unit</v>
          </cell>
          <cell r="F35">
            <v>321030</v>
          </cell>
          <cell r="G35" t="str">
            <v>Commercial Kitchen</v>
          </cell>
          <cell r="J35" t="str">
            <v>Air Cooled Chiller &lt;150 Tons (min. eff. of 1.18 kW/ton full load and 0.76 kW/ton IPLV)</v>
          </cell>
          <cell r="K35">
            <v>1.1879999999999999</v>
          </cell>
          <cell r="L35">
            <v>0.876</v>
          </cell>
          <cell r="M35">
            <v>1.18</v>
          </cell>
          <cell r="N35">
            <v>0.76</v>
          </cell>
          <cell r="O35">
            <v>0</v>
          </cell>
          <cell r="P35">
            <v>149.999</v>
          </cell>
          <cell r="T35" t="str">
            <v>Restaurant – Cooler</v>
          </cell>
          <cell r="AC35">
            <v>304925</v>
          </cell>
          <cell r="AD35" t="str">
            <v>304925-Cooking-Commercial Cooker Replacing No Existing Equipment or Failed Equipment</v>
          </cell>
        </row>
        <row r="36">
          <cell r="B36" t="str">
            <v>Commercial dishwasher - ENERGY STAR® - Stationary Single Tank Door</v>
          </cell>
          <cell r="C36">
            <v>1991</v>
          </cell>
          <cell r="D36">
            <v>1866</v>
          </cell>
          <cell r="E36" t="str">
            <v>Unit</v>
          </cell>
          <cell r="F36">
            <v>321130</v>
          </cell>
          <cell r="G36" t="str">
            <v>Commercial Kitchen</v>
          </cell>
          <cell r="J36" t="str">
            <v>Air Cooled Chiller &gt;=150 Tons (min. eff. of 1.18 kW/ton full load and 0.75 kW/ton IPLV)</v>
          </cell>
          <cell r="K36">
            <v>1.1879999999999999</v>
          </cell>
          <cell r="L36">
            <v>0.85699999999999998</v>
          </cell>
          <cell r="M36">
            <v>1.18</v>
          </cell>
          <cell r="N36">
            <v>0.75</v>
          </cell>
          <cell r="O36">
            <v>150</v>
          </cell>
          <cell r="P36">
            <v>999999</v>
          </cell>
          <cell r="T36" t="str">
            <v>Restaurant - Freezer</v>
          </cell>
          <cell r="AC36">
            <v>304930</v>
          </cell>
          <cell r="AD36" t="str">
            <v>304930-Cooking-Commercial Cooker Replacing Existing Equipment</v>
          </cell>
        </row>
        <row r="37">
          <cell r="B37" t="str">
            <v>Commercial dishwasher - ENERGY STAR® - Pots, pans and utensils</v>
          </cell>
          <cell r="C37">
            <v>367</v>
          </cell>
          <cell r="D37">
            <v>344</v>
          </cell>
          <cell r="E37" t="str">
            <v>Unit</v>
          </cell>
          <cell r="F37">
            <v>321230</v>
          </cell>
          <cell r="G37" t="str">
            <v>Commercial Kitchen</v>
          </cell>
          <cell r="J37" t="str">
            <v>Water Cooled Screw/Scroll Chiller &lt;75 Tons (min. eff. of 0.74 kW/ton full load and 0.50 kW/ton IPLV)</v>
          </cell>
          <cell r="K37">
            <v>0.75</v>
          </cell>
          <cell r="L37">
            <v>0.6</v>
          </cell>
          <cell r="M37">
            <v>0.74</v>
          </cell>
          <cell r="N37">
            <v>0.5</v>
          </cell>
          <cell r="O37">
            <v>0</v>
          </cell>
          <cell r="P37">
            <v>74.998999999999995</v>
          </cell>
          <cell r="T37" t="str">
            <v>Refrigerated Warehouse</v>
          </cell>
          <cell r="AC37">
            <v>305025</v>
          </cell>
          <cell r="AD37" t="str">
            <v>305025-Cooking-Commercial Fryer Replacing No Existing Equipment or Failed Equipment</v>
          </cell>
        </row>
        <row r="38">
          <cell r="B38" t="str">
            <v>Commercial dishwasher - ENERGY STAR®- Single tank conveyor</v>
          </cell>
          <cell r="C38">
            <v>1679</v>
          </cell>
          <cell r="D38">
            <v>1574</v>
          </cell>
          <cell r="E38" t="str">
            <v>Unit</v>
          </cell>
          <cell r="F38">
            <v>321330</v>
          </cell>
          <cell r="G38" t="str">
            <v>Commercial Kitchen</v>
          </cell>
          <cell r="J38" t="str">
            <v>Water Cooled Screw/Scroll Chiller &gt;= 75 and &lt;150 Tons (min. eff. of 0.71 kW/ton full load and 0.49 kW/ton IPLV)</v>
          </cell>
          <cell r="K38">
            <v>0.72</v>
          </cell>
          <cell r="L38">
            <v>0.56000000000000005</v>
          </cell>
          <cell r="M38">
            <v>0.71</v>
          </cell>
          <cell r="N38">
            <v>0.49</v>
          </cell>
          <cell r="O38">
            <v>75</v>
          </cell>
          <cell r="P38">
            <v>149.999</v>
          </cell>
          <cell r="AC38">
            <v>305030</v>
          </cell>
          <cell r="AD38" t="str">
            <v>305030-Cooking-Commercial Fryer Replacing Existing Equipment</v>
          </cell>
        </row>
        <row r="39">
          <cell r="B39" t="str">
            <v>Commercial dishwasher - ENERGY STAR® - Multiple tank conveyor</v>
          </cell>
          <cell r="C39">
            <v>3097</v>
          </cell>
          <cell r="D39">
            <v>2903</v>
          </cell>
          <cell r="E39" t="str">
            <v>Unit</v>
          </cell>
          <cell r="F39">
            <v>321430</v>
          </cell>
          <cell r="G39" t="str">
            <v>Commercial Kitchen</v>
          </cell>
          <cell r="J39" t="str">
            <v>Water Cooled Screw/Scroll Chiller &gt;=150 Tons and &lt;300 Tons (min. eff. of 0.65 kW/ton full load and 0.44 kW/ton IPLV)</v>
          </cell>
          <cell r="K39">
            <v>0.66</v>
          </cell>
          <cell r="L39">
            <v>0.54</v>
          </cell>
          <cell r="M39">
            <v>0.65</v>
          </cell>
          <cell r="N39">
            <v>0.44</v>
          </cell>
          <cell r="O39">
            <v>150</v>
          </cell>
          <cell r="P39">
            <v>299.99900000000002</v>
          </cell>
          <cell r="AC39">
            <v>305125</v>
          </cell>
          <cell r="AD39" t="str">
            <v>305125-Cooking-Commercial Range Hood Replacing No Existing Equipment or Failed Equipment</v>
          </cell>
        </row>
        <row r="40">
          <cell r="B40" t="str">
            <v>Commercial ice maker - ENERGY STAR®</v>
          </cell>
          <cell r="C40">
            <v>91</v>
          </cell>
          <cell r="D40">
            <v>85</v>
          </cell>
          <cell r="E40" t="str">
            <v>Unit</v>
          </cell>
          <cell r="F40">
            <v>321530</v>
          </cell>
          <cell r="G40" t="str">
            <v>Commercial Kitchen</v>
          </cell>
          <cell r="J40" t="str">
            <v>Water Cooled Screw/Scroll Chiller &gt;=300 Tons (min. eff. of 0.57 kW/ton full load and 0.41 kW/ton IPLV)</v>
          </cell>
          <cell r="K40">
            <v>0.58499999999999996</v>
          </cell>
          <cell r="L40">
            <v>0.51</v>
          </cell>
          <cell r="M40">
            <v>0.56999999999999995</v>
          </cell>
          <cell r="N40">
            <v>0.41</v>
          </cell>
          <cell r="O40">
            <v>300</v>
          </cell>
          <cell r="P40">
            <v>999999</v>
          </cell>
          <cell r="T40" t="str">
            <v>Yes</v>
          </cell>
          <cell r="AC40">
            <v>305130</v>
          </cell>
          <cell r="AD40" t="str">
            <v>305130-Cooking-Commercial Range Hood Replacing Existing Equipment</v>
          </cell>
        </row>
        <row r="41">
          <cell r="B41" t="str">
            <v>Convection commercial oven - ENERGY STAR®</v>
          </cell>
          <cell r="C41">
            <v>309</v>
          </cell>
          <cell r="D41">
            <v>290</v>
          </cell>
          <cell r="E41" t="str">
            <v>Unit</v>
          </cell>
          <cell r="F41">
            <v>321630</v>
          </cell>
          <cell r="G41" t="str">
            <v>Commercial Kitchen</v>
          </cell>
          <cell r="J41" t="str">
            <v>Water Cooled Centrifugal &lt;300 Tons (min. eff. of 0.60 kW/ton full load and 0.40 kW/ton IPLV)</v>
          </cell>
          <cell r="K41">
            <v>0.61</v>
          </cell>
          <cell r="L41">
            <v>0.55000000000000004</v>
          </cell>
          <cell r="M41">
            <v>0.6</v>
          </cell>
          <cell r="N41">
            <v>0.4</v>
          </cell>
          <cell r="O41">
            <v>0</v>
          </cell>
          <cell r="P41">
            <v>299.99900000000002</v>
          </cell>
          <cell r="T41" t="str">
            <v>No</v>
          </cell>
          <cell r="AC41">
            <v>305225</v>
          </cell>
          <cell r="AD41" t="str">
            <v>305225-Cooking-Commercial Steamer Replacing No Existing Equipment or Failed Equipment</v>
          </cell>
        </row>
        <row r="42">
          <cell r="B42" t="str">
            <v>Combination commercial oven &lt;15 Pan - ENERGY STAR®</v>
          </cell>
          <cell r="C42">
            <v>1840</v>
          </cell>
          <cell r="D42">
            <v>1725</v>
          </cell>
          <cell r="E42" t="str">
            <v>Unit</v>
          </cell>
          <cell r="F42">
            <v>321730</v>
          </cell>
          <cell r="G42" t="str">
            <v>Commercial Kitchen</v>
          </cell>
          <cell r="J42" t="str">
            <v>Water Cooled Centrifugal &gt;=300 and &lt;600 Tons (min. eff. of 0.55 kW/ton full load and 0.39 kW/ton IPLV)</v>
          </cell>
          <cell r="K42">
            <v>0.56000000000000005</v>
          </cell>
          <cell r="L42">
            <v>0.51</v>
          </cell>
          <cell r="M42">
            <v>0.55000000000000004</v>
          </cell>
          <cell r="N42">
            <v>0.39</v>
          </cell>
          <cell r="O42">
            <v>300</v>
          </cell>
          <cell r="P42">
            <v>599.99900000000002</v>
          </cell>
          <cell r="T42" t="str">
            <v>Unknown</v>
          </cell>
          <cell r="AC42">
            <v>305230</v>
          </cell>
          <cell r="AD42" t="str">
            <v>305230-Cooking-Commercial Steamer Replacing Existing Equipment</v>
          </cell>
        </row>
        <row r="43">
          <cell r="B43" t="str">
            <v>Combination commercial oven &gt;=15 Pan - ENERGY STAR®</v>
          </cell>
          <cell r="C43">
            <v>2967</v>
          </cell>
          <cell r="D43">
            <v>2781</v>
          </cell>
          <cell r="E43" t="str">
            <v>Unit</v>
          </cell>
          <cell r="F43">
            <v>321830</v>
          </cell>
          <cell r="G43" t="str">
            <v>Commercial Kitchen</v>
          </cell>
          <cell r="J43" t="str">
            <v>Water Cooled Centrifugal &gt;=600 Tons (min. eff. of 0.55 kW/ton full load and 0.38 kW/ton IPLV)</v>
          </cell>
          <cell r="K43">
            <v>0.56000000000000005</v>
          </cell>
          <cell r="L43">
            <v>0.5</v>
          </cell>
          <cell r="M43">
            <v>0.55000000000000004</v>
          </cell>
          <cell r="N43">
            <v>0.38</v>
          </cell>
          <cell r="O43">
            <v>600</v>
          </cell>
          <cell r="P43">
            <v>999999</v>
          </cell>
          <cell r="AC43">
            <v>305325</v>
          </cell>
          <cell r="AD43" t="str">
            <v>305325-Cooking-Hot Food Holding Cabinent Replacing No Existing Equipment or Failed Equipment</v>
          </cell>
        </row>
        <row r="44">
          <cell r="B44" t="str">
            <v>Commercial steam cooker - ENERGY STAR®</v>
          </cell>
          <cell r="C44">
            <v>3400</v>
          </cell>
          <cell r="D44">
            <v>3188</v>
          </cell>
          <cell r="E44" t="str">
            <v>Unit</v>
          </cell>
          <cell r="F44">
            <v>321930</v>
          </cell>
          <cell r="G44" t="str">
            <v>Commercial Kitchen</v>
          </cell>
          <cell r="AC44">
            <v>305330</v>
          </cell>
          <cell r="AD44" t="str">
            <v>305330-Cooking-Hot Food Holding Cabinent Replacing Existing Equipment</v>
          </cell>
        </row>
        <row r="45">
          <cell r="B45" t="str">
            <v xml:space="preserve">Low-Flow Sink Aerators - 1.5 GPM or Less - Only Electric Hot Water </v>
          </cell>
          <cell r="C45">
            <v>13</v>
          </cell>
          <cell r="D45">
            <v>12</v>
          </cell>
          <cell r="E45" t="str">
            <v>Aerator</v>
          </cell>
          <cell r="F45">
            <v>525025</v>
          </cell>
          <cell r="G45" t="str">
            <v>Water Fixture</v>
          </cell>
          <cell r="AC45"/>
          <cell r="AD45"/>
        </row>
        <row r="46">
          <cell r="B46" t="str">
            <v xml:space="preserve">Pre-Rinse Spray Valves - 1.28 GPM or Less - Only Electric Hot Water </v>
          </cell>
          <cell r="C46">
            <v>52</v>
          </cell>
          <cell r="D46">
            <v>49</v>
          </cell>
          <cell r="E46" t="str">
            <v>Spray Valve</v>
          </cell>
          <cell r="F46">
            <v>525325</v>
          </cell>
          <cell r="G46" t="str">
            <v>Water Fixture</v>
          </cell>
          <cell r="AC46">
            <v>407025</v>
          </cell>
          <cell r="AD46" t="str">
            <v>407025-Refrigeration-ECM Motor for Refrigeration Replacing No Existing Equipment or Failed Equipment</v>
          </cell>
        </row>
        <row r="47">
          <cell r="B47" t="str">
            <v xml:space="preserve">Low-Flow Showerhead - 1.75 GPM or Less - Only Electric Hot Water </v>
          </cell>
          <cell r="C47">
            <v>5</v>
          </cell>
          <cell r="D47">
            <v>4</v>
          </cell>
          <cell r="E47" t="str">
            <v>Showerhead</v>
          </cell>
          <cell r="F47">
            <v>525225</v>
          </cell>
          <cell r="G47" t="str">
            <v>Water Fixture</v>
          </cell>
          <cell r="AC47">
            <v>407025</v>
          </cell>
          <cell r="AD47" t="str">
            <v>407025-Refrigeration-ECM Motor for Refrigeration Replacing No Existing Equipment or Failed Equipment</v>
          </cell>
        </row>
        <row r="48">
          <cell r="B48"/>
          <cell r="C48"/>
          <cell r="D48"/>
          <cell r="E48"/>
          <cell r="F48"/>
          <cell r="G48"/>
          <cell r="J48" t="str">
            <v>SELECT AC MEASURE FROM DROPDOWN</v>
          </cell>
          <cell r="AC48">
            <v>407125</v>
          </cell>
          <cell r="AD48" t="str">
            <v>407125-Refrigeration-Commercial Freezer Replacing No Existing Equipment or Failed Equipment</v>
          </cell>
        </row>
        <row r="49">
          <cell r="B49"/>
          <cell r="C49"/>
          <cell r="D49"/>
          <cell r="E49"/>
          <cell r="F49"/>
          <cell r="G49"/>
          <cell r="J49" t="str">
            <v>A/C Unit (&lt; 5.42 Tons) - Min. efficiency of 12.3 EER/14.5 SEER2</v>
          </cell>
          <cell r="AC49">
            <v>407130</v>
          </cell>
          <cell r="AD49" t="str">
            <v>407130-Refrigeration-Commercial Freezer Replacing Existing Equipment</v>
          </cell>
        </row>
        <row r="50">
          <cell r="B50" t="str">
            <v>Advanced Power Strip</v>
          </cell>
          <cell r="C50">
            <v>16</v>
          </cell>
          <cell r="D50">
            <v>15</v>
          </cell>
          <cell r="E50" t="str">
            <v>Strip</v>
          </cell>
          <cell r="F50">
            <v>525625</v>
          </cell>
          <cell r="G50" t="str">
            <v>Miscellaneous</v>
          </cell>
          <cell r="J50" t="str">
            <v>A/C Unit (5.42 - 11.24 Tons) - Min. efficiency 12.2 EER/14.8 SEER</v>
          </cell>
          <cell r="AC50">
            <v>407225</v>
          </cell>
          <cell r="AD50" t="str">
            <v>407225-Refrigeration-Commercial Refrigerator Replacing No Existing Equipment or Failed Equipment</v>
          </cell>
        </row>
        <row r="51">
          <cell r="B51" t="str">
            <v>PC Power Management</v>
          </cell>
          <cell r="C51">
            <v>32</v>
          </cell>
          <cell r="D51">
            <v>30</v>
          </cell>
          <cell r="E51" t="str">
            <v>PC</v>
          </cell>
          <cell r="F51">
            <v>935730</v>
          </cell>
          <cell r="G51" t="str">
            <v>Miscellaneous</v>
          </cell>
          <cell r="J51" t="str">
            <v>A/C Unit (11.25 - 19.9 Tons) - Min. efficiency 12.2 EER/14.8 SEER</v>
          </cell>
          <cell r="AC51">
            <v>407230</v>
          </cell>
          <cell r="AD51" t="str">
            <v>407230-Refrigeration-Commercial Refrigerator Replacing Existing Equipment</v>
          </cell>
        </row>
        <row r="52">
          <cell r="J52" t="str">
            <v>A/C Unit (&gt;= 20 Tons) - Min. efficiency 10.8 EER/13.5 SEER</v>
          </cell>
          <cell r="AC52">
            <v>407425</v>
          </cell>
          <cell r="AD52" t="str">
            <v>407425-Refrigeration-Freezer Insulation Replacing No Existing Equipment or Failed Equipment</v>
          </cell>
        </row>
        <row r="53">
          <cell r="AC53">
            <v>407430</v>
          </cell>
          <cell r="AD53" t="str">
            <v>407430-Refrigeration-Freezer Insulation Replacing Existing Equipment</v>
          </cell>
        </row>
        <row r="54">
          <cell r="B54" t="str">
            <v>Pre-Retrofit</v>
          </cell>
          <cell r="AC54">
            <v>407525</v>
          </cell>
          <cell r="AD54" t="str">
            <v>407525-Refrigeration-Refrigeration Insulation Replacing No Existing Equipment or Failed Equipment</v>
          </cell>
        </row>
        <row r="55">
          <cell r="B55" t="str">
            <v>Post-Retrofit</v>
          </cell>
          <cell r="J55" t="str">
            <v>SELECT HP MEASURE FROM DROPDOWN</v>
          </cell>
          <cell r="AC55">
            <v>407530</v>
          </cell>
          <cell r="AD55" t="str">
            <v>407530-Refrigeration-Refrigeration Insulation Replacing Existing Equipment</v>
          </cell>
        </row>
        <row r="56">
          <cell r="J56" t="str">
            <v>Heat Pump (&lt; 5.42 Tons) - Min. efficiency 12.3 EER/14.5 SEER2/8.0 HSPF2</v>
          </cell>
          <cell r="AC56">
            <v>407625</v>
          </cell>
          <cell r="AD56" t="str">
            <v>407625-Refrigeration-Controls Replacing No Existing Equipment or Failed Equipment</v>
          </cell>
        </row>
        <row r="57">
          <cell r="J57" t="str">
            <v>Heat Pump (5.42 - 11.24 Tons) - Min. efficiency 11.3 EER/14.5 SEER/12.0 HSPF</v>
          </cell>
          <cell r="AC57">
            <v>407630</v>
          </cell>
          <cell r="AD57" t="str">
            <v>407630-Refrigeration-Controls Replacing Existing Equipment</v>
          </cell>
        </row>
        <row r="58">
          <cell r="B58" t="str">
            <v>A/C with Gas Heat</v>
          </cell>
          <cell r="J58" t="str">
            <v>Heat Pump (11.25 - 19.9 Tons) - Min. efficiency 10.9 EER/14.0 SEER/12.0 HSPF</v>
          </cell>
          <cell r="AC58">
            <v>424830</v>
          </cell>
          <cell r="AD58" t="str">
            <v>424830-Refrigeration-Door Gaskets - Coolers (Refrigeration)</v>
          </cell>
        </row>
        <row r="59">
          <cell r="B59" t="str">
            <v>A/C with Electric Resistance Heat</v>
          </cell>
          <cell r="J59" t="str">
            <v>Heat Pump (&gt;= 20 Tons) - Min. efficiency 10.3 EER/13.0 SEER/12.0 HSPF</v>
          </cell>
          <cell r="AC59">
            <v>424830</v>
          </cell>
          <cell r="AD59" t="str">
            <v>424830-Refrigeration-Door Gaskets - Coolers (Refrigeration)</v>
          </cell>
        </row>
        <row r="60">
          <cell r="B60" t="str">
            <v>A/C with Heat Pump</v>
          </cell>
          <cell r="AC60">
            <v>424930</v>
          </cell>
          <cell r="AD60" t="str">
            <v>424930-Refrigeration-Door Gaskets - Freezers (Refrigeration)</v>
          </cell>
        </row>
        <row r="61">
          <cell r="B61" t="str">
            <v>A/C with No/Unknown Heat</v>
          </cell>
          <cell r="AC61">
            <v>424930</v>
          </cell>
          <cell r="AD61" t="str">
            <v>424930-Refrigeration-Door Gaskets - Freezers (Refrigeration)</v>
          </cell>
        </row>
        <row r="62">
          <cell r="B62" t="str">
            <v>Refrigerated Space - Med. Temp (33-41°F)</v>
          </cell>
          <cell r="AC62">
            <v>425030</v>
          </cell>
          <cell r="AD62" t="str">
            <v>425030-Refrigeration-Auto Door-Closers - Coolers (Refrigeration)</v>
          </cell>
        </row>
        <row r="63">
          <cell r="B63" t="str">
            <v>Refrigerated Space - Low Temp (-10-10°F)</v>
          </cell>
          <cell r="AC63">
            <v>425030</v>
          </cell>
          <cell r="AD63" t="str">
            <v>425030-Refrigeration-Auto Door-Closers - Coolers (Refrigeration)</v>
          </cell>
        </row>
        <row r="64">
          <cell r="B64" t="str">
            <v>Unconditioned</v>
          </cell>
          <cell r="AC64">
            <v>425130</v>
          </cell>
          <cell r="AD64" t="str">
            <v>425130-Refrigeration-Auto Door-Closers - Freezers (Refrigeration)</v>
          </cell>
        </row>
        <row r="65">
          <cell r="AC65">
            <v>425130</v>
          </cell>
          <cell r="AD65" t="str">
            <v>425130-Refrigeration-Auto Door-Closers - Freezers (Refrigeration)</v>
          </cell>
        </row>
        <row r="66">
          <cell r="AC66"/>
          <cell r="AD66"/>
        </row>
        <row r="67">
          <cell r="AC67"/>
          <cell r="AD67"/>
        </row>
        <row r="68">
          <cell r="AC68">
            <v>505425</v>
          </cell>
          <cell r="AD68" t="str">
            <v>505425-Water Heating-Heat Pump Pool Heater Replacing No Existing Equipment or Failed Equipment</v>
          </cell>
        </row>
        <row r="69">
          <cell r="AC69">
            <v>505430</v>
          </cell>
          <cell r="AD69" t="str">
            <v>505430-Water Heating-Heat Pump Pool Heater Replacing Existing Equipment</v>
          </cell>
        </row>
        <row r="70">
          <cell r="AC70">
            <v>505525</v>
          </cell>
          <cell r="AD70" t="str">
            <v>505525-Water Heating-Heat Pump Water Heater Replacing No Existing Equipment or Failed Equipment</v>
          </cell>
        </row>
        <row r="71">
          <cell r="AC71">
            <v>505530</v>
          </cell>
          <cell r="AD71" t="str">
            <v>505530-Water Heating-Heat Pump Water Heater Replacing Existing Equipment</v>
          </cell>
        </row>
        <row r="72">
          <cell r="AC72">
            <v>606225</v>
          </cell>
          <cell r="AD72" t="str">
            <v>606225-Motors-Efficient Motor Replacing No Existing Equipment or Failed Equipment</v>
          </cell>
        </row>
        <row r="73">
          <cell r="AC73">
            <v>606230</v>
          </cell>
          <cell r="AD73" t="str">
            <v>606230-Motors-Efficient Motor Replacing Existing Equipment</v>
          </cell>
        </row>
        <row r="74">
          <cell r="AC74">
            <v>606325</v>
          </cell>
          <cell r="AD74" t="str">
            <v>606325-Motors-Efficient Pumps Replacing No Existing Equipment or Failed Equipment</v>
          </cell>
        </row>
        <row r="75">
          <cell r="AC75">
            <v>606330</v>
          </cell>
          <cell r="AD75" t="str">
            <v>606330-Motors-Efficient Pumps Replacing Existing Equipment</v>
          </cell>
        </row>
        <row r="76">
          <cell r="AC76">
            <v>606415</v>
          </cell>
          <cell r="AD76" t="str">
            <v>606415-Motors-Grain Bin Aeration Controls</v>
          </cell>
        </row>
        <row r="77">
          <cell r="AC77">
            <v>606525</v>
          </cell>
          <cell r="AD77" t="str">
            <v>606525-Motors-VFD for Pump Replacing No Existing Equipment or Failed Equipment</v>
          </cell>
        </row>
        <row r="78">
          <cell r="AC78">
            <v>606730</v>
          </cell>
          <cell r="AD78" t="str">
            <v>606730-Motors-Low Pressure Irrigation</v>
          </cell>
        </row>
        <row r="79">
          <cell r="AC79">
            <v>606825</v>
          </cell>
          <cell r="AD79" t="str">
            <v>606825-Motors-VFD for Process Motor Replacing No Existing Equipment or Failed Equipment</v>
          </cell>
        </row>
        <row r="80">
          <cell r="AC80">
            <v>606830</v>
          </cell>
          <cell r="AD80" t="str">
            <v>606830-Motors-Potato/Onion Shed Variable Frequency Drive Ventilation Fan</v>
          </cell>
        </row>
        <row r="81">
          <cell r="AC81">
            <v>606930</v>
          </cell>
          <cell r="AD81" t="str">
            <v>606930-Motors-Temperature Based On/Off Livestock Ventilation Controller</v>
          </cell>
        </row>
        <row r="82">
          <cell r="AC82"/>
          <cell r="AD82"/>
        </row>
        <row r="83">
          <cell r="AC83">
            <v>705625</v>
          </cell>
          <cell r="AD83" t="str">
            <v>705625-Compressed Air-Efficient Air Compressor Replacing No Existing Equipment or Failed Equipment</v>
          </cell>
        </row>
        <row r="84">
          <cell r="AC84">
            <v>705630</v>
          </cell>
          <cell r="AD84" t="str">
            <v>705630-Compressed Air-Efficient Air Compressor Replacing Existing Equipment</v>
          </cell>
        </row>
        <row r="85">
          <cell r="AC85">
            <v>705725</v>
          </cell>
          <cell r="AD85" t="str">
            <v>705725-Compressed Air-Compressed Air Optimization Replacing No Existing Equipment or Failed Equipment</v>
          </cell>
        </row>
        <row r="86">
          <cell r="AC86">
            <v>705730</v>
          </cell>
          <cell r="AD86" t="str">
            <v>705730-Compressed Air-Compressed Air Optimization Replacing Existing Equipment</v>
          </cell>
        </row>
        <row r="87">
          <cell r="AC87">
            <v>705825</v>
          </cell>
          <cell r="AD87" t="str">
            <v>705825-Compressed Air-VFD for Air Compressor Replacing No Existing Equipment or Failed Equipment</v>
          </cell>
        </row>
        <row r="88">
          <cell r="AC88">
            <v>705825</v>
          </cell>
          <cell r="AD88" t="str">
            <v>705825-Compressed Air-VFD for Air Compressor Replacing No Existing Equipment or Failed Equipment</v>
          </cell>
        </row>
        <row r="89">
          <cell r="AC89">
            <v>705830</v>
          </cell>
          <cell r="AD89" t="str">
            <v>705830-Compressed Air-VFD for Air Compressor Replacing Existing Equipment</v>
          </cell>
        </row>
        <row r="90">
          <cell r="AC90">
            <v>706125</v>
          </cell>
          <cell r="AD90" t="str">
            <v>706125-Compressed Air-Compressed Air Engineered Nozzle Replacing No Existing Equipment or Failed Equipment</v>
          </cell>
        </row>
        <row r="91">
          <cell r="AC91">
            <v>706130</v>
          </cell>
          <cell r="AD91" t="str">
            <v>706130-Compressed Air-Compressed Air Engineered Nozzle Replacing Existing Equipment</v>
          </cell>
        </row>
        <row r="92">
          <cell r="AC92">
            <v>804225</v>
          </cell>
          <cell r="AD92" t="str">
            <v>804225-Building Shell-Efficient Wall Insulation Replacing No Existing Equipment or Failed Equipment</v>
          </cell>
        </row>
        <row r="93">
          <cell r="AC93">
            <v>804230</v>
          </cell>
          <cell r="AD93" t="str">
            <v>804230-Building Shell-Efficient Wall Insulation Replacing Existing Insulation</v>
          </cell>
        </row>
        <row r="94">
          <cell r="AC94">
            <v>804325</v>
          </cell>
          <cell r="AD94" t="str">
            <v>804325-Building Shell-Efficient Window Film Replacing No Existing Window Film or Failed Window Film</v>
          </cell>
        </row>
        <row r="95">
          <cell r="AC95">
            <v>804425</v>
          </cell>
          <cell r="AD95" t="str">
            <v>804425-Building Shell-Efficient Window Replacing No Existing Window or Failed Window</v>
          </cell>
        </row>
        <row r="96">
          <cell r="AC96">
            <v>804430</v>
          </cell>
          <cell r="AD96" t="str">
            <v>804430-Building Shell-Efficient Window Replacing Existing Window</v>
          </cell>
        </row>
        <row r="97">
          <cell r="AC97">
            <v>906630</v>
          </cell>
          <cell r="AD97" t="str">
            <v>906630-Miscellaneous-ENERGY STAR Dehumidifier for Indoor Agriculture</v>
          </cell>
        </row>
        <row r="98">
          <cell r="AC98">
            <v>907430</v>
          </cell>
          <cell r="AD98" t="str">
            <v>907430-Miscellaneous-Efficient Custom Agriculture Equipment Replacing Existing Equipment</v>
          </cell>
        </row>
        <row r="99">
          <cell r="AC99">
            <v>915925</v>
          </cell>
          <cell r="AD99" t="str">
            <v>915925-Process-Optimizing Process Cooling Replacing No Existing Equipment or Failed Equipment</v>
          </cell>
        </row>
        <row r="100">
          <cell r="AC100">
            <v>915930</v>
          </cell>
          <cell r="AD100" t="str">
            <v>915930-Process-Optimizing Process Cooling Replacing Existing Equipment</v>
          </cell>
        </row>
        <row r="101">
          <cell r="AC101">
            <v>916025</v>
          </cell>
          <cell r="AD101" t="str">
            <v>916025-Process-Optimizing Process Heating Replacing No Existing Equipment or Failed Equipment</v>
          </cell>
        </row>
        <row r="102">
          <cell r="AC102">
            <v>916030</v>
          </cell>
          <cell r="AD102" t="str">
            <v>916030-Process-Optimizing Process Heating Replacing Existing Equipment</v>
          </cell>
        </row>
        <row r="103">
          <cell r="AC103"/>
          <cell r="AD103"/>
        </row>
        <row r="104">
          <cell r="AC104"/>
          <cell r="AD104"/>
        </row>
        <row r="105">
          <cell r="AC105"/>
          <cell r="AD105"/>
        </row>
        <row r="106">
          <cell r="AC106" t="str">
            <v>804530</v>
          </cell>
          <cell r="AD106" t="str">
            <v>Cool Roof</v>
          </cell>
        </row>
        <row r="107">
          <cell r="AC107" t="str">
            <v>804630</v>
          </cell>
          <cell r="AD107" t="str">
            <v>Roof or Ceiling Insulation</v>
          </cell>
        </row>
        <row r="108">
          <cell r="AC108" t="str">
            <v>804730</v>
          </cell>
          <cell r="AD108" t="str">
            <v>Building Envelope Custom Measure - Other</v>
          </cell>
        </row>
        <row r="109">
          <cell r="AC109" t="str">
            <v>204230</v>
          </cell>
          <cell r="AD109" t="str">
            <v>Air Handler Coil Cleaning</v>
          </cell>
        </row>
        <row r="110">
          <cell r="AC110" t="str">
            <v>204330</v>
          </cell>
          <cell r="AD110" t="str">
            <v>Chiller Plant Optimization</v>
          </cell>
        </row>
        <row r="111">
          <cell r="AC111" t="str">
            <v>204430</v>
          </cell>
          <cell r="AD111" t="str">
            <v>HVAC Custom Measure - Other</v>
          </cell>
        </row>
      </sheetData>
      <sheetData sheetId="12">
        <row r="2">
          <cell r="H2" t="str">
            <v>ECM Fan (Refr.) Savings</v>
          </cell>
          <cell r="I2" t="str">
            <v>kWh</v>
          </cell>
          <cell r="J2" t="str">
            <v>kW</v>
          </cell>
          <cell r="N2" t="str">
            <v>Concat Name</v>
          </cell>
          <cell r="O2" t="str">
            <v>Measure Name</v>
          </cell>
          <cell r="P2" t="str">
            <v>Water Temp</v>
          </cell>
          <cell r="Q2" t="str">
            <v>Heater/Booster Fuel</v>
          </cell>
          <cell r="R2" t="str">
            <v>kWh</v>
          </cell>
          <cell r="S2" t="str">
            <v>kW</v>
          </cell>
          <cell r="U2" t="str">
            <v>Aerator Savings (Building Type)</v>
          </cell>
          <cell r="V2" t="str">
            <v>kWh</v>
          </cell>
          <cell r="W2" t="str">
            <v>kW</v>
          </cell>
        </row>
        <row r="3">
          <cell r="H3" t="str">
            <v>Freezer (low temp.)</v>
          </cell>
          <cell r="I3">
            <v>903.25033846153838</v>
          </cell>
          <cell r="J3">
            <v>0.10311076923076924</v>
          </cell>
          <cell r="N3" t="str">
            <v>Commercial dishwasher - ENERGY STAR® - Under counterHigh TempElectric/Electric</v>
          </cell>
          <cell r="O3" t="str">
            <v>Commercial dishwasher - ENERGY STAR® - Under counter</v>
          </cell>
          <cell r="P3" t="str">
            <v>High Temp</v>
          </cell>
          <cell r="Q3" t="str">
            <v>Electric/Electric</v>
          </cell>
          <cell r="R3">
            <v>3198</v>
          </cell>
          <cell r="S3">
            <v>0.4</v>
          </cell>
          <cell r="U3" t="str">
            <v>Prison</v>
          </cell>
          <cell r="V3">
            <v>1920.6022249626349</v>
          </cell>
          <cell r="W3">
            <v>0.21047695616028878</v>
          </cell>
        </row>
        <row r="4">
          <cell r="H4" t="str">
            <v>Cooler (medium-temp.)</v>
          </cell>
          <cell r="I4">
            <v>760.36799999999994</v>
          </cell>
          <cell r="J4">
            <v>8.6800000000000002E-2</v>
          </cell>
          <cell r="N4" t="str">
            <v>Commercial dishwasher - ENERGY STAR® - Under counterHigh TempGas/Electric</v>
          </cell>
          <cell r="O4" t="str">
            <v>Commercial dishwasher - ENERGY STAR® - Under counter</v>
          </cell>
          <cell r="P4" t="str">
            <v>High Temp</v>
          </cell>
          <cell r="Q4" t="str">
            <v>Gas/Electric</v>
          </cell>
          <cell r="R4">
            <v>2099</v>
          </cell>
          <cell r="S4">
            <v>0.3</v>
          </cell>
          <cell r="U4" t="str">
            <v>Hospital, Nursing Home</v>
          </cell>
          <cell r="V4">
            <v>192.06022249626355</v>
          </cell>
          <cell r="W4">
            <v>1.5785771712021657E-2</v>
          </cell>
        </row>
        <row r="5">
          <cell r="N5" t="str">
            <v>Commercial dishwasher - ENERGY STAR® - Under counterHigh TempGas/Gas</v>
          </cell>
          <cell r="O5" t="str">
            <v>Commercial dishwasher - ENERGY STAR® - Under counter</v>
          </cell>
          <cell r="P5" t="str">
            <v>High Temp</v>
          </cell>
          <cell r="Q5" t="str">
            <v>Gas/Gas</v>
          </cell>
          <cell r="R5">
            <v>1471</v>
          </cell>
          <cell r="S5">
            <v>0.2</v>
          </cell>
          <cell r="U5" t="str">
            <v>Dormitory</v>
          </cell>
          <cell r="V5">
            <v>1441.7671496979781</v>
          </cell>
          <cell r="W5">
            <v>0.21047695616028878</v>
          </cell>
        </row>
        <row r="6">
          <cell r="H6" t="str">
            <v>Evap. Fan Controller Savings</v>
          </cell>
          <cell r="I6" t="str">
            <v>kWh</v>
          </cell>
          <cell r="J6" t="str">
            <v>kW</v>
          </cell>
          <cell r="N6" t="str">
            <v>Commercial dishwasher - ENERGY STAR® - Under counterLow TempElectric/No Booster</v>
          </cell>
          <cell r="O6" t="str">
            <v>Commercial dishwasher - ENERGY STAR® - Under counter</v>
          </cell>
          <cell r="P6" t="str">
            <v>Low Temp</v>
          </cell>
          <cell r="Q6" t="str">
            <v>Electric/No Booster</v>
          </cell>
          <cell r="R6">
            <v>2580</v>
          </cell>
          <cell r="S6">
            <v>0.3</v>
          </cell>
          <cell r="U6" t="str">
            <v>Multifamily</v>
          </cell>
          <cell r="V6">
            <v>192.06022249626355</v>
          </cell>
          <cell r="W6">
            <v>1.5785771712021657E-2</v>
          </cell>
          <cell r="AE6" t="str">
            <v>APS Savings (Program)</v>
          </cell>
          <cell r="AF6" t="str">
            <v>Application</v>
          </cell>
          <cell r="AG6" t="str">
            <v>kWh</v>
          </cell>
          <cell r="AH6" t="str">
            <v>kW</v>
          </cell>
        </row>
        <row r="7">
          <cell r="H7" t="str">
            <v>Freezer (low temp.)</v>
          </cell>
          <cell r="I7">
            <v>543.47039999999993</v>
          </cell>
          <cell r="J7">
            <v>6.2039999999999991E-2</v>
          </cell>
          <cell r="N7" t="str">
            <v>Commercial dishwasher - ENERGY STAR® - Under counterLow TempGas/No Booster</v>
          </cell>
          <cell r="O7" t="str">
            <v>Commercial dishwasher - ENERGY STAR® - Under counter</v>
          </cell>
          <cell r="P7" t="str">
            <v>Low Temp</v>
          </cell>
          <cell r="Q7" t="str">
            <v>Gas/No Booster</v>
          </cell>
          <cell r="R7">
            <v>0</v>
          </cell>
          <cell r="S7">
            <v>0</v>
          </cell>
          <cell r="U7" t="str">
            <v>Lodging</v>
          </cell>
          <cell r="V7">
            <v>192.06022249626355</v>
          </cell>
          <cell r="W7">
            <v>1.0523847808014438E-2</v>
          </cell>
          <cell r="AE7" t="str">
            <v>Large Commercial &amp; Industrial Solutions</v>
          </cell>
          <cell r="AF7" t="str">
            <v>Office</v>
          </cell>
          <cell r="AG7">
            <v>71.400000000000006</v>
          </cell>
          <cell r="AH7">
            <v>0</v>
          </cell>
        </row>
        <row r="8">
          <cell r="H8" t="str">
            <v>Cooler (medium-temp.)</v>
          </cell>
          <cell r="I8">
            <v>501.072</v>
          </cell>
          <cell r="J8">
            <v>5.7200000000000001E-2</v>
          </cell>
          <cell r="N8" t="str">
            <v>Commercial dishwasher - ENERGY STAR® - Stationary Single Tank DoorHigh TempElectric/Electric</v>
          </cell>
          <cell r="O8" t="str">
            <v>Commercial dishwasher - ENERGY STAR® - Stationary Single Tank Door</v>
          </cell>
          <cell r="P8" t="str">
            <v>High Temp</v>
          </cell>
          <cell r="Q8" t="str">
            <v>Electric/Electric</v>
          </cell>
          <cell r="R8">
            <v>12040</v>
          </cell>
          <cell r="S8">
            <v>1.5</v>
          </cell>
          <cell r="U8" t="str">
            <v>Commercial</v>
          </cell>
          <cell r="V8">
            <v>1315.4809760018047</v>
          </cell>
          <cell r="W8">
            <v>0.42095391232057755</v>
          </cell>
          <cell r="AE8" t="str">
            <v>Small Commercial Solutions</v>
          </cell>
          <cell r="AF8" t="str">
            <v>Small Business</v>
          </cell>
          <cell r="AG8">
            <v>61.2</v>
          </cell>
          <cell r="AH8">
            <v>0</v>
          </cell>
        </row>
        <row r="9">
          <cell r="H9" t="str">
            <v>Cooler (high-temp.)</v>
          </cell>
          <cell r="I9">
            <v>462.52799999999996</v>
          </cell>
          <cell r="J9">
            <v>5.2799999999999993E-2</v>
          </cell>
          <cell r="N9" t="str">
            <v>Commercial dishwasher - ENERGY STAR® - Stationary Single Tank DoorHigh TempGas/Electric</v>
          </cell>
          <cell r="O9" t="str">
            <v>Commercial dishwasher - ENERGY STAR® - Stationary Single Tank Door</v>
          </cell>
          <cell r="P9" t="str">
            <v>High Temp</v>
          </cell>
          <cell r="Q9" t="str">
            <v>Gas/Electric</v>
          </cell>
          <cell r="R9">
            <v>4905</v>
          </cell>
          <cell r="S9">
            <v>0.6</v>
          </cell>
          <cell r="U9" t="str">
            <v>School</v>
          </cell>
          <cell r="V9">
            <v>1052.3847808014436</v>
          </cell>
          <cell r="W9">
            <v>0.26309619520036093</v>
          </cell>
        </row>
        <row r="10">
          <cell r="N10" t="str">
            <v>Commercial dishwasher - ENERGY STAR® - Stationary Single Tank DoorHigh TempGas/Gas</v>
          </cell>
          <cell r="O10" t="str">
            <v>Commercial dishwasher - ENERGY STAR® - Stationary Single Tank Door</v>
          </cell>
          <cell r="P10" t="str">
            <v>High Temp</v>
          </cell>
          <cell r="Q10" t="str">
            <v>Gas/Gas</v>
          </cell>
          <cell r="R10">
            <v>827</v>
          </cell>
          <cell r="S10">
            <v>0.1</v>
          </cell>
          <cell r="U10" t="str">
            <v>Other</v>
          </cell>
          <cell r="V10">
            <v>1008.4853013737264</v>
          </cell>
          <cell r="W10">
            <v>0.13391059404687758</v>
          </cell>
          <cell r="AE10" t="str">
            <v>PC Power Management (Controlled Device)</v>
          </cell>
          <cell r="AF10" t="str">
            <v>kWh</v>
          </cell>
          <cell r="AG10" t="str">
            <v>kW</v>
          </cell>
        </row>
        <row r="11">
          <cell r="H11" t="str">
            <v>ASHC Savings</v>
          </cell>
          <cell r="I11" t="str">
            <v>kWh/lf</v>
          </cell>
          <cell r="J11" t="str">
            <v>kW/lf</v>
          </cell>
          <cell r="N11" t="str">
            <v>Commercial dishwasher - ENERGY STAR® - Stationary Single Tank DoorLow TempElectric/No Booster</v>
          </cell>
          <cell r="O11" t="str">
            <v>Commercial dishwasher - ENERGY STAR® - Stationary Single Tank Door</v>
          </cell>
          <cell r="P11" t="str">
            <v>Low Temp</v>
          </cell>
          <cell r="Q11" t="str">
            <v>Electric/No Booster</v>
          </cell>
          <cell r="R11">
            <v>16411</v>
          </cell>
          <cell r="S11">
            <v>2.1</v>
          </cell>
          <cell r="AE11" t="str">
            <v>LCD Monitor</v>
          </cell>
          <cell r="AF11">
            <v>158.72</v>
          </cell>
          <cell r="AG11">
            <v>8.0000000000000002E-3</v>
          </cell>
        </row>
        <row r="12">
          <cell r="H12" t="str">
            <v>Freezer (low temp.)</v>
          </cell>
          <cell r="I12">
            <v>259</v>
          </cell>
          <cell r="J12">
            <v>6.0000000000000001E-3</v>
          </cell>
          <cell r="N12" t="str">
            <v>Commercial dishwasher - ENERGY STAR® - Stationary Single Tank DoorLow TempGas/No Booster</v>
          </cell>
          <cell r="O12" t="str">
            <v>Commercial dishwasher - ENERGY STAR® - Stationary Single Tank Door</v>
          </cell>
          <cell r="P12" t="str">
            <v>Low Temp</v>
          </cell>
          <cell r="Q12" t="str">
            <v>Gas/No Booster</v>
          </cell>
          <cell r="R12">
            <v>0</v>
          </cell>
          <cell r="S12">
            <v>0</v>
          </cell>
          <cell r="AE12" t="str">
            <v>Desktop Computer</v>
          </cell>
          <cell r="AF12">
            <v>337.92</v>
          </cell>
          <cell r="AG12">
            <v>1.7000000000000001E-2</v>
          </cell>
        </row>
        <row r="13">
          <cell r="H13" t="str">
            <v>Cooler (medium-temp.)</v>
          </cell>
          <cell r="I13">
            <v>248</v>
          </cell>
          <cell r="J13">
            <v>4.5999999999999999E-3</v>
          </cell>
          <cell r="N13" t="str">
            <v>Commercial dishwasher - ENERGY STAR® - Pots, pans and utensilsHigh TempElectric/Electric</v>
          </cell>
          <cell r="O13" t="str">
            <v>Commercial dishwasher - ENERGY STAR® - Pots, pans and utensils</v>
          </cell>
          <cell r="P13" t="str">
            <v>High Temp</v>
          </cell>
          <cell r="Q13" t="str">
            <v>Electric/Electric</v>
          </cell>
          <cell r="R13">
            <v>3364</v>
          </cell>
          <cell r="S13">
            <v>0.4</v>
          </cell>
          <cell r="AE13" t="str">
            <v>Notebook (including display)</v>
          </cell>
          <cell r="AF13">
            <v>97.28</v>
          </cell>
          <cell r="AG13">
            <v>5.0000000000000001E-3</v>
          </cell>
        </row>
        <row r="14">
          <cell r="H14" t="str">
            <v>Unknown</v>
          </cell>
          <cell r="I14">
            <v>253.5</v>
          </cell>
          <cell r="J14">
            <v>5.3E-3</v>
          </cell>
          <cell r="N14" t="str">
            <v>Commercial dishwasher - ENERGY STAR® - Pots, pans and utensilsHigh TempGas/Electric</v>
          </cell>
          <cell r="O14" t="str">
            <v>Commercial dishwasher - ENERGY STAR® - Pots, pans and utensils</v>
          </cell>
          <cell r="P14" t="str">
            <v>High Temp</v>
          </cell>
          <cell r="Q14" t="str">
            <v>Gas/Electric</v>
          </cell>
          <cell r="R14">
            <v>1223</v>
          </cell>
          <cell r="S14">
            <v>0.2</v>
          </cell>
        </row>
        <row r="15">
          <cell r="N15" t="str">
            <v>Commercial dishwasher - ENERGY STAR® - Pots, pans and utensilsHigh TempGas/Gas</v>
          </cell>
          <cell r="O15" t="str">
            <v>Commercial dishwasher - ENERGY STAR® - Pots, pans and utensils</v>
          </cell>
          <cell r="P15" t="str">
            <v>High Temp</v>
          </cell>
          <cell r="Q15" t="str">
            <v>Gas/Gas</v>
          </cell>
          <cell r="R15">
            <v>0</v>
          </cell>
          <cell r="S15">
            <v>0</v>
          </cell>
        </row>
        <row r="16">
          <cell r="H16" t="str">
            <v>Night Cover Savings</v>
          </cell>
          <cell r="I16" t="str">
            <v>kWh/lf</v>
          </cell>
          <cell r="J16" t="str">
            <v>kW/lf</v>
          </cell>
          <cell r="N16" t="str">
            <v>Commercial dishwasher - ENERGY STAR®- Single tank conveyorHigh TempElectric/Electric</v>
          </cell>
          <cell r="O16" t="str">
            <v>Commercial dishwasher - ENERGY STAR®- Single tank conveyor</v>
          </cell>
          <cell r="P16" t="str">
            <v>High Temp</v>
          </cell>
          <cell r="Q16" t="str">
            <v>Electric/Electric</v>
          </cell>
          <cell r="R16">
            <v>9319</v>
          </cell>
          <cell r="S16">
            <v>1.2</v>
          </cell>
        </row>
        <row r="17">
          <cell r="H17" t="str">
            <v>Vertical Open, Remote Condensing , Medium-temp</v>
          </cell>
          <cell r="I17">
            <v>112</v>
          </cell>
          <cell r="J17">
            <v>0</v>
          </cell>
          <cell r="N17" t="str">
            <v>Commercial dishwasher - ENERGY STAR®- Single tank conveyorHigh TempGas/Electric</v>
          </cell>
          <cell r="O17" t="str">
            <v>Commercial dishwasher - ENERGY STAR®- Single tank conveyor</v>
          </cell>
          <cell r="P17" t="str">
            <v>High Temp</v>
          </cell>
          <cell r="Q17" t="str">
            <v>Gas/Electric</v>
          </cell>
          <cell r="R17">
            <v>4987</v>
          </cell>
          <cell r="S17">
            <v>0.6</v>
          </cell>
        </row>
        <row r="18">
          <cell r="H18" t="str">
            <v>Vertical Open, Remote Condensing , Low-temp</v>
          </cell>
          <cell r="I18">
            <v>209</v>
          </cell>
          <cell r="J18">
            <v>0</v>
          </cell>
          <cell r="N18" t="str">
            <v>Commercial dishwasher - ENERGY STAR®- Single tank conveyorHigh TempGas/Gas</v>
          </cell>
          <cell r="O18" t="str">
            <v>Commercial dishwasher - ENERGY STAR®- Single tank conveyor</v>
          </cell>
          <cell r="P18" t="str">
            <v>High Temp</v>
          </cell>
          <cell r="Q18" t="str">
            <v>Gas/Gas</v>
          </cell>
          <cell r="R18">
            <v>2511</v>
          </cell>
          <cell r="S18">
            <v>0.3</v>
          </cell>
        </row>
        <row r="19">
          <cell r="H19" t="str">
            <v>Vertical Open, Self-Contained, Medium-temp</v>
          </cell>
          <cell r="I19">
            <v>182</v>
          </cell>
          <cell r="J19">
            <v>0</v>
          </cell>
          <cell r="N19" t="str">
            <v>Commercial dishwasher - ENERGY STAR®- Single tank conveyorLow TempElectric/No Booster</v>
          </cell>
          <cell r="O19" t="str">
            <v>Commercial dishwasher - ENERGY STAR®- Single tank conveyor</v>
          </cell>
          <cell r="P19" t="str">
            <v>Low Temp</v>
          </cell>
          <cell r="Q19" t="str">
            <v>Electric/No Booster</v>
          </cell>
          <cell r="R19">
            <v>13835</v>
          </cell>
          <cell r="S19">
            <v>1.8</v>
          </cell>
        </row>
        <row r="20">
          <cell r="H20" t="str">
            <v>Semivertical Open, Remote Condensing, Medium-temp</v>
          </cell>
          <cell r="I20">
            <v>83</v>
          </cell>
          <cell r="J20">
            <v>0</v>
          </cell>
          <cell r="N20" t="str">
            <v>Commercial dishwasher - ENERGY STAR®- Single tank conveyorLow TempGas/No Booster</v>
          </cell>
          <cell r="O20" t="str">
            <v>Commercial dishwasher - ENERGY STAR®- Single tank conveyor</v>
          </cell>
          <cell r="P20" t="str">
            <v>Low Temp</v>
          </cell>
          <cell r="Q20" t="str">
            <v>Gas/No Booster</v>
          </cell>
          <cell r="R20">
            <v>0</v>
          </cell>
          <cell r="S20">
            <v>0</v>
          </cell>
        </row>
        <row r="21">
          <cell r="H21" t="str">
            <v>Semivertical Open, Self-Contained, Medium-temp</v>
          </cell>
          <cell r="I21">
            <v>162</v>
          </cell>
          <cell r="J21">
            <v>0</v>
          </cell>
          <cell r="N21" t="str">
            <v>Commercial dishwasher - ENERGY STAR® - Multiple tank conveyorHigh TempElectric/Electric</v>
          </cell>
          <cell r="O21" t="str">
            <v>Commercial dishwasher - ENERGY STAR® - Multiple tank conveyor</v>
          </cell>
          <cell r="P21" t="str">
            <v>High Temp</v>
          </cell>
          <cell r="Q21" t="str">
            <v>Electric/Electric</v>
          </cell>
          <cell r="R21">
            <v>27815</v>
          </cell>
          <cell r="S21">
            <v>3.6</v>
          </cell>
        </row>
        <row r="22">
          <cell r="H22" t="str">
            <v>Horizontal Open, Remote Condensing, Medium-temp</v>
          </cell>
          <cell r="I22">
            <v>42</v>
          </cell>
          <cell r="J22">
            <v>0</v>
          </cell>
          <cell r="N22" t="str">
            <v>Commercial dishwasher - ENERGY STAR® - Multiple tank conveyorHigh TempGas/Electric</v>
          </cell>
          <cell r="O22" t="str">
            <v>Commercial dishwasher - ENERGY STAR® - Multiple tank conveyor</v>
          </cell>
          <cell r="P22" t="str">
            <v>High Temp</v>
          </cell>
          <cell r="Q22" t="str">
            <v>Gas/Electric</v>
          </cell>
          <cell r="R22">
            <v>11378</v>
          </cell>
          <cell r="S22">
            <v>1.5</v>
          </cell>
        </row>
        <row r="23">
          <cell r="B23" t="str">
            <v>ACTU / HPTU Pump Savings</v>
          </cell>
          <cell r="C23" t="str">
            <v>kWh_clg</v>
          </cell>
          <cell r="D23" t="str">
            <v>kWh_htg</v>
          </cell>
          <cell r="E23" t="str">
            <v>kWh_total</v>
          </cell>
          <cell r="F23" t="str">
            <v>kW</v>
          </cell>
          <cell r="H23" t="str">
            <v>Horizontal Open, Remote Condensing, Low-temp</v>
          </cell>
          <cell r="I23">
            <v>94</v>
          </cell>
          <cell r="J23">
            <v>0</v>
          </cell>
          <cell r="N23" t="str">
            <v>Commercial dishwasher - ENERGY STAR® - Multiple tank conveyorHigh TempGas/Gas</v>
          </cell>
          <cell r="O23" t="str">
            <v>Commercial dishwasher - ENERGY STAR® - Multiple tank conveyor</v>
          </cell>
          <cell r="P23" t="str">
            <v>High Temp</v>
          </cell>
          <cell r="Q23" t="str">
            <v>Gas/Gas</v>
          </cell>
          <cell r="R23">
            <v>1986</v>
          </cell>
          <cell r="S23">
            <v>0.3</v>
          </cell>
        </row>
        <row r="24">
          <cell r="B24" t="str">
            <v>HVAC Tune Up - Commercial (A/C)</v>
          </cell>
          <cell r="C24" t="e">
            <v>#N/A</v>
          </cell>
          <cell r="D24"/>
          <cell r="E24" t="e">
            <v>#N/A</v>
          </cell>
          <cell r="F24" t="e">
            <v>#N/A</v>
          </cell>
          <cell r="H24" t="str">
            <v>Horizontal Open, Self-Contained, Medium-temp</v>
          </cell>
          <cell r="I24">
            <v>132</v>
          </cell>
          <cell r="J24">
            <v>0</v>
          </cell>
          <cell r="N24" t="str">
            <v>Commercial dishwasher - ENERGY STAR® - Multiple tank conveyorLow TempElectric/No Booster</v>
          </cell>
          <cell r="O24" t="str">
            <v>Commercial dishwasher - ENERGY STAR® - Multiple tank conveyor</v>
          </cell>
          <cell r="P24" t="str">
            <v>Low Temp</v>
          </cell>
          <cell r="Q24" t="str">
            <v>Electric/No Booster</v>
          </cell>
          <cell r="R24">
            <v>19112</v>
          </cell>
          <cell r="S24">
            <v>2.4</v>
          </cell>
        </row>
        <row r="25">
          <cell r="B25" t="str">
            <v>HVAC Tune Up - Commercial (Heat Pump)</v>
          </cell>
          <cell r="C25" t="e">
            <v>#N/A</v>
          </cell>
          <cell r="D25" t="e">
            <v>#N/A</v>
          </cell>
          <cell r="E25" t="e">
            <v>#N/A</v>
          </cell>
          <cell r="F25" t="e">
            <v>#N/A</v>
          </cell>
          <cell r="H25" t="str">
            <v>Horizontal Open, Self-Contained, Low-temp</v>
          </cell>
          <cell r="I25">
            <v>288</v>
          </cell>
          <cell r="J25">
            <v>0</v>
          </cell>
          <cell r="N25" t="str">
            <v>Commercial dishwasher - ENERGY STAR® - Multiple tank conveyorLow TempGas/No Booster</v>
          </cell>
          <cell r="O25" t="str">
            <v>Commercial dishwasher - ENERGY STAR® - Multiple tank conveyor</v>
          </cell>
          <cell r="P25" t="str">
            <v>Low Temp</v>
          </cell>
          <cell r="Q25" t="str">
            <v>Gas/No Booster</v>
          </cell>
          <cell r="R25">
            <v>0</v>
          </cell>
          <cell r="S25">
            <v>0</v>
          </cell>
        </row>
        <row r="27">
          <cell r="H27" t="str">
            <v>Night Cover Savings (Concat Name)</v>
          </cell>
          <cell r="I27" t="str">
            <v>Type</v>
          </cell>
          <cell r="J27" t="str">
            <v>Size</v>
          </cell>
          <cell r="K27" t="str">
            <v>kWh</v>
          </cell>
          <cell r="L27" t="str">
            <v>kW</v>
          </cell>
        </row>
        <row r="28">
          <cell r="H28" t="str">
            <v>Refrigerator0 - 15 cu. ft.</v>
          </cell>
          <cell r="I28" t="str">
            <v>Refrigerator</v>
          </cell>
          <cell r="J28" t="str">
            <v>0 - 15 cu. ft.</v>
          </cell>
          <cell r="K28">
            <v>290</v>
          </cell>
          <cell r="L28">
            <v>0.03</v>
          </cell>
          <cell r="N28" t="str">
            <v>Convection Oven Savings (Size)</v>
          </cell>
          <cell r="O28" t="str">
            <v>kWh</v>
          </cell>
          <cell r="P28" t="str">
            <v>kW</v>
          </cell>
        </row>
        <row r="29">
          <cell r="H29" t="str">
            <v>Refrigerator15 - 30 cu. ft</v>
          </cell>
          <cell r="I29" t="str">
            <v>Refrigerator</v>
          </cell>
          <cell r="J29" t="str">
            <v>15 - 30 cu. ft</v>
          </cell>
          <cell r="K29">
            <v>631</v>
          </cell>
          <cell r="L29">
            <v>7.0000000000000007E-2</v>
          </cell>
          <cell r="N29" t="str">
            <v>Half-Size</v>
          </cell>
          <cell r="O29">
            <v>2485</v>
          </cell>
          <cell r="P29">
            <v>0.47699999999999998</v>
          </cell>
        </row>
        <row r="30">
          <cell r="B30" t="str">
            <v>Prescriptive Measure</v>
          </cell>
          <cell r="C30" t="str">
            <v>kWh/unit</v>
          </cell>
          <cell r="D30" t="str">
            <v>kW/unit</v>
          </cell>
          <cell r="H30" t="str">
            <v>Refrigerator30 - 50 cu. ft.</v>
          </cell>
          <cell r="I30" t="str">
            <v>Refrigerator</v>
          </cell>
          <cell r="J30" t="str">
            <v>30 - 50 cu. ft.</v>
          </cell>
          <cell r="K30">
            <v>951</v>
          </cell>
          <cell r="L30">
            <v>0.11</v>
          </cell>
          <cell r="N30" t="str">
            <v>Full-Size</v>
          </cell>
          <cell r="O30">
            <v>2787</v>
          </cell>
          <cell r="P30">
            <v>0.53400000000000003</v>
          </cell>
        </row>
        <row r="31">
          <cell r="B31" t="str">
            <v>SELECT CHILLER MEASURE FROM DROPDOWN</v>
          </cell>
          <cell r="C31">
            <v>0</v>
          </cell>
          <cell r="D31">
            <v>0</v>
          </cell>
          <cell r="H31" t="str">
            <v>Refrigerator≥ 50 cu. ft.</v>
          </cell>
          <cell r="I31" t="str">
            <v>Refrigerator</v>
          </cell>
          <cell r="J31" t="str">
            <v>≥ 50 cu. ft.</v>
          </cell>
          <cell r="K31">
            <v>1250</v>
          </cell>
          <cell r="L31">
            <v>0.14000000000000001</v>
          </cell>
        </row>
        <row r="32">
          <cell r="B32" t="str">
            <v>Air Cooled Chiller &lt;150 Tons (min. eff. of 1.18 kW/ton full load and 0.76 kW/ton IPLV)</v>
          </cell>
          <cell r="C32">
            <v>18977.559190051194</v>
          </cell>
          <cell r="D32">
            <v>0.61600000000000055</v>
          </cell>
          <cell r="H32" t="str">
            <v>Freezer0 - 15 cu. ft.</v>
          </cell>
          <cell r="I32" t="str">
            <v>Freezer</v>
          </cell>
          <cell r="J32" t="str">
            <v>0 - 15 cu. ft.</v>
          </cell>
          <cell r="K32">
            <v>869</v>
          </cell>
          <cell r="L32">
            <v>0.1</v>
          </cell>
        </row>
        <row r="33">
          <cell r="B33" t="str">
            <v>Water Cooled Screw/Scroll Chiller &gt;=300 Tons (min. eff. of 0.57 kW/ton full load and 0.41 kW/ton IPLV)</v>
          </cell>
          <cell r="C33">
            <v>66270.841616051781</v>
          </cell>
          <cell r="D33">
            <v>4.6200000000000045</v>
          </cell>
          <cell r="H33" t="str">
            <v>Freezer15 - 30 cu. ft</v>
          </cell>
          <cell r="I33" t="str">
            <v>Freezer</v>
          </cell>
          <cell r="J33" t="str">
            <v>15 - 30 cu. ft</v>
          </cell>
          <cell r="K33">
            <v>869</v>
          </cell>
          <cell r="L33">
            <v>0.1</v>
          </cell>
          <cell r="N33" t="str">
            <v>Combination Oven Savings (Size)</v>
          </cell>
          <cell r="O33" t="str">
            <v>kWh</v>
          </cell>
          <cell r="P33" t="str">
            <v>kW</v>
          </cell>
        </row>
        <row r="34">
          <cell r="B34" t="str">
            <v>Water Cooled Screw/Scroll Chiller &gt;=150 Tons and &lt;300 Tons (min. eff. of 0.65 kW/ton full load and 0.44 kW/ton IPLV)</v>
          </cell>
          <cell r="C34">
            <v>41419.276010032379</v>
          </cell>
          <cell r="D34">
            <v>1.9250000000000018</v>
          </cell>
          <cell r="H34" t="str">
            <v>Freezer30 - 50 cu. ft.</v>
          </cell>
          <cell r="I34" t="str">
            <v>Freezer</v>
          </cell>
          <cell r="J34" t="str">
            <v>30 - 50 cu. ft.</v>
          </cell>
          <cell r="K34">
            <v>2593</v>
          </cell>
          <cell r="L34">
            <v>0.3</v>
          </cell>
          <cell r="N34" t="str">
            <v>Combination commercial oven &lt;15 Pan - ENERGY STAR®</v>
          </cell>
          <cell r="O34">
            <v>14397.5</v>
          </cell>
          <cell r="P34">
            <v>2.7850000000000001</v>
          </cell>
        </row>
        <row r="35">
          <cell r="B35" t="str">
            <v>Water Cooled Screw/Scroll Chiller &gt;= 75 and &lt;150 Tons (min. eff. of 0.71 kW/ton full load and 0.49 kW/ton IPLV)</v>
          </cell>
          <cell r="C35">
            <v>12049.243930191245</v>
          </cell>
          <cell r="D35">
            <v>0.77000000000000068</v>
          </cell>
          <cell r="H35" t="str">
            <v>Freezer≥ 50 cu. ft.</v>
          </cell>
          <cell r="I35" t="str">
            <v>Freezer</v>
          </cell>
          <cell r="J35" t="str">
            <v>≥ 50 cu. ft.</v>
          </cell>
          <cell r="K35">
            <v>4375</v>
          </cell>
          <cell r="L35">
            <v>0.5</v>
          </cell>
          <cell r="N35" t="str">
            <v>Combination commercial oven &gt;=15 Pan - ENERGY STAR®</v>
          </cell>
          <cell r="O35">
            <v>19220</v>
          </cell>
          <cell r="P35">
            <v>3.69</v>
          </cell>
        </row>
        <row r="36">
          <cell r="B36" t="str">
            <v>Water Cooled Screw/Scroll Chiller &lt;75 Tons (min. eff. of 0.74 kW/ton full load and 0.50 kW/ton IPLV)</v>
          </cell>
          <cell r="C36">
            <v>8283.8552020064726</v>
          </cell>
          <cell r="D36">
            <v>0.38500000000000034</v>
          </cell>
        </row>
        <row r="37">
          <cell r="B37" t="str">
            <v>Water Cooled Centrifugal &gt;=600 Tons (min. eff. of 0.55 kW/ton full load and 0.38 kW/ton IPLV)</v>
          </cell>
          <cell r="C37">
            <v>225923.32369108568</v>
          </cell>
          <cell r="D37">
            <v>7.7000000000000073</v>
          </cell>
          <cell r="H37" t="str">
            <v>Strip Curtain Savings (Concat Name)</v>
          </cell>
          <cell r="I37" t="str">
            <v>Case Description</v>
          </cell>
          <cell r="J37" t="str">
            <v>Pre-Existing Curtains</v>
          </cell>
          <cell r="K37" t="str">
            <v>kWh/sf</v>
          </cell>
          <cell r="L37" t="str">
            <v>kW/sf</v>
          </cell>
          <cell r="N37" t="str">
            <v>Steam Cooker (Size)</v>
          </cell>
          <cell r="O37" t="str">
            <v>kWh</v>
          </cell>
          <cell r="P37" t="str">
            <v>kW</v>
          </cell>
        </row>
        <row r="38">
          <cell r="B38" t="str">
            <v>Water Cooled Centrifugal &lt;300 Tons (min. eff. of 0.60 kW/ton full load and 0.40 kW/ton IPLV)</v>
          </cell>
          <cell r="C38">
            <v>75307.774563695231</v>
          </cell>
          <cell r="D38">
            <v>1.5400000000000014</v>
          </cell>
          <cell r="H38" t="str">
            <v>Supermarket – CoolerYes</v>
          </cell>
          <cell r="I38" t="str">
            <v>Supermarket – Cooler</v>
          </cell>
          <cell r="J38" t="str">
            <v>Yes</v>
          </cell>
          <cell r="K38">
            <v>37</v>
          </cell>
          <cell r="L38">
            <v>4.2199999999999998E-3</v>
          </cell>
          <cell r="N38" t="str">
            <v>3-Pan</v>
          </cell>
          <cell r="O38">
            <v>28214</v>
          </cell>
          <cell r="P38">
            <v>5.4</v>
          </cell>
        </row>
        <row r="39">
          <cell r="B39" t="str">
            <v>Water Cooled Centrifugal &gt;=300 and &lt;600 Tons (min. eff. of 0.55 kW/ton full load and 0.39 kW/ton IPLV)</v>
          </cell>
          <cell r="C39">
            <v>158146.32658375995</v>
          </cell>
          <cell r="D39">
            <v>3.8500000000000036</v>
          </cell>
          <cell r="H39" t="str">
            <v>Supermarket – CoolerNo</v>
          </cell>
          <cell r="I39" t="str">
            <v>Supermarket – Cooler</v>
          </cell>
          <cell r="J39" t="str">
            <v>No</v>
          </cell>
          <cell r="K39">
            <v>108</v>
          </cell>
          <cell r="L39">
            <v>1.23E-2</v>
          </cell>
          <cell r="N39" t="str">
            <v>4-Pan</v>
          </cell>
          <cell r="O39">
            <v>38081</v>
          </cell>
          <cell r="P39">
            <v>7.3</v>
          </cell>
        </row>
        <row r="40">
          <cell r="H40" t="str">
            <v>Supermarket – CoolerUnknown</v>
          </cell>
          <cell r="I40" t="str">
            <v>Supermarket – Cooler</v>
          </cell>
          <cell r="J40" t="str">
            <v>Unknown</v>
          </cell>
          <cell r="K40">
            <v>62</v>
          </cell>
          <cell r="L40">
            <v>7.0800000000000004E-3</v>
          </cell>
          <cell r="N40" t="str">
            <v>5-Pan</v>
          </cell>
          <cell r="O40">
            <v>47948</v>
          </cell>
          <cell r="P40">
            <v>9.1999999999999993</v>
          </cell>
        </row>
        <row r="41">
          <cell r="H41" t="str">
            <v>Supermarket – FreezerYes</v>
          </cell>
          <cell r="I41" t="str">
            <v>Supermarket – Freezer</v>
          </cell>
          <cell r="J41" t="str">
            <v>Yes</v>
          </cell>
          <cell r="K41">
            <v>61</v>
          </cell>
          <cell r="L41">
            <v>6.96E-3</v>
          </cell>
          <cell r="N41" t="str">
            <v>6-Pan</v>
          </cell>
          <cell r="O41">
            <v>57815</v>
          </cell>
          <cell r="P41">
            <v>11.1</v>
          </cell>
        </row>
        <row r="42">
          <cell r="B42" t="str">
            <v>ECM Motors (HVAC)</v>
          </cell>
          <cell r="C42">
            <v>355.79297454545502</v>
          </cell>
          <cell r="D42">
            <v>6.70158E-2</v>
          </cell>
          <cell r="H42" t="str">
            <v>Supermarket – FreezerNo</v>
          </cell>
          <cell r="I42" t="str">
            <v>Supermarket – Freezer</v>
          </cell>
          <cell r="J42" t="str">
            <v>No</v>
          </cell>
          <cell r="K42">
            <v>179</v>
          </cell>
          <cell r="L42">
            <v>3.9800000000000002E-2</v>
          </cell>
        </row>
        <row r="43">
          <cell r="H43" t="str">
            <v>Supermarket – FreezerUnknown</v>
          </cell>
          <cell r="I43" t="str">
            <v>Supermarket – Freezer</v>
          </cell>
          <cell r="J43" t="str">
            <v>Unknown</v>
          </cell>
          <cell r="K43">
            <v>119</v>
          </cell>
          <cell r="L43">
            <v>1.358E-2</v>
          </cell>
          <cell r="U43" t="str">
            <v>PRSV Savings (Building Type)</v>
          </cell>
          <cell r="V43" t="str">
            <v>kWh</v>
          </cell>
          <cell r="W43" t="str">
            <v>kW</v>
          </cell>
        </row>
        <row r="44">
          <cell r="B44" t="str">
            <v>GREM Savings</v>
          </cell>
          <cell r="C44" t="str">
            <v>kWh</v>
          </cell>
          <cell r="D44" t="str">
            <v>kW</v>
          </cell>
          <cell r="H44" t="str">
            <v>Convenience Store - CoolerYes</v>
          </cell>
          <cell r="I44" t="str">
            <v>Convenience Store - Cooler</v>
          </cell>
          <cell r="J44" t="str">
            <v>Yes</v>
          </cell>
          <cell r="K44">
            <v>5</v>
          </cell>
          <cell r="L44">
            <v>5.6999999999999998E-4</v>
          </cell>
          <cell r="N44" t="str">
            <v>Concat Name</v>
          </cell>
          <cell r="O44" t="str">
            <v>kWh</v>
          </cell>
          <cell r="P44" t="str">
            <v>kW</v>
          </cell>
          <cell r="U44" t="str">
            <v>Fast Food</v>
          </cell>
          <cell r="V44">
            <v>4327.3637224977647</v>
          </cell>
          <cell r="W44">
            <v>0.59278955102709108</v>
          </cell>
        </row>
        <row r="45">
          <cell r="B45" t="str">
            <v xml:space="preserve">Guest Room Energy Management Controls </v>
          </cell>
          <cell r="C45">
            <v>590.20000000000005</v>
          </cell>
          <cell r="D45">
            <v>0.248</v>
          </cell>
          <cell r="H45" t="str">
            <v>Convenience Store - CoolerNo</v>
          </cell>
          <cell r="I45" t="str">
            <v>Convenience Store - Cooler</v>
          </cell>
          <cell r="J45" t="str">
            <v>No</v>
          </cell>
          <cell r="K45">
            <v>20</v>
          </cell>
          <cell r="L45">
            <v>2.2799999999999999E-3</v>
          </cell>
          <cell r="N45" t="str">
            <v>Ice Making Heads, Batch Type</v>
          </cell>
          <cell r="O45">
            <v>223</v>
          </cell>
          <cell r="P45">
            <v>0.03</v>
          </cell>
          <cell r="U45" t="str">
            <v>Casual Dining</v>
          </cell>
          <cell r="V45">
            <v>10097.18201916145</v>
          </cell>
          <cell r="W45">
            <v>1.10654049525057</v>
          </cell>
        </row>
        <row r="46">
          <cell r="H46" t="str">
            <v>Convenience Store - CoolerUnknown</v>
          </cell>
          <cell r="I46" t="str">
            <v>Convenience Store - Cooler</v>
          </cell>
          <cell r="J46" t="str">
            <v>Unknown</v>
          </cell>
          <cell r="K46">
            <v>11</v>
          </cell>
          <cell r="L46">
            <v>1.2600000000000001E-3</v>
          </cell>
          <cell r="N46" t="str">
            <v>Ice Making Heads, Continuous Type</v>
          </cell>
          <cell r="O46">
            <v>792</v>
          </cell>
          <cell r="P46">
            <v>0.09</v>
          </cell>
          <cell r="U46" t="str">
            <v>Institutional</v>
          </cell>
          <cell r="V46">
            <v>15159.604784932806</v>
          </cell>
          <cell r="W46">
            <v>1.6598107428758551</v>
          </cell>
        </row>
        <row r="47">
          <cell r="B47" t="str">
            <v>Duct Sealing Savings</v>
          </cell>
          <cell r="C47" t="str">
            <v>kWh/CFM</v>
          </cell>
          <cell r="D47" t="str">
            <v>kW/CFM</v>
          </cell>
          <cell r="H47" t="str">
            <v>Convenience Store - FreezerYes</v>
          </cell>
          <cell r="I47" t="str">
            <v>Convenience Store - Freezer</v>
          </cell>
          <cell r="J47" t="str">
            <v>Yes</v>
          </cell>
          <cell r="K47">
            <v>8</v>
          </cell>
          <cell r="L47">
            <v>9.1E-4</v>
          </cell>
          <cell r="N47" t="str">
            <v>Remote Condensing Units, Batch Type</v>
          </cell>
          <cell r="O47">
            <v>921</v>
          </cell>
          <cell r="P47">
            <v>0.11</v>
          </cell>
          <cell r="U47" t="str">
            <v>Dormitory</v>
          </cell>
          <cell r="V47">
            <v>20194.364038322899</v>
          </cell>
          <cell r="W47">
            <v>2.2130809905011399</v>
          </cell>
        </row>
        <row r="48">
          <cell r="B48" t="str">
            <v>Duct Sealing</v>
          </cell>
          <cell r="C48">
            <v>4.4000000000000004</v>
          </cell>
          <cell r="D48">
            <v>3.0000000000000001E-3</v>
          </cell>
          <cell r="H48" t="str">
            <v>Convenience Store - FreezerNo</v>
          </cell>
          <cell r="I48" t="str">
            <v>Convenience Store - Freezer</v>
          </cell>
          <cell r="J48" t="str">
            <v>No</v>
          </cell>
          <cell r="K48">
            <v>27</v>
          </cell>
          <cell r="L48">
            <v>3.0799999999999998E-3</v>
          </cell>
          <cell r="N48" t="str">
            <v>Remote Condensing Units, Continuous Type</v>
          </cell>
          <cell r="O48">
            <v>1037</v>
          </cell>
          <cell r="P48">
            <v>0.12</v>
          </cell>
          <cell r="U48" t="str">
            <v>K-12 School</v>
          </cell>
          <cell r="V48">
            <v>10097.18201916145</v>
          </cell>
          <cell r="W48">
            <v>1.3831756190632123</v>
          </cell>
        </row>
        <row r="49">
          <cell r="H49" t="str">
            <v>Convenience Store - FreezerUnknown</v>
          </cell>
          <cell r="I49" t="str">
            <v>Convenience Store - Freezer</v>
          </cell>
          <cell r="J49" t="str">
            <v>Unknown</v>
          </cell>
          <cell r="K49">
            <v>17</v>
          </cell>
          <cell r="L49">
            <v>1.9400000000000001E-3</v>
          </cell>
          <cell r="N49" t="str">
            <v>Self-Contained Units, Batch Type</v>
          </cell>
          <cell r="O49">
            <v>303</v>
          </cell>
          <cell r="P49">
            <v>0.03</v>
          </cell>
          <cell r="U49" t="str">
            <v>Other</v>
          </cell>
          <cell r="V49">
            <v>12334.764977771711</v>
          </cell>
          <cell r="W49">
            <v>1.4938296685882693</v>
          </cell>
        </row>
        <row r="50">
          <cell r="H50" t="str">
            <v>Restaurant - CoolerYes</v>
          </cell>
          <cell r="I50" t="str">
            <v>Restaurant - Cooler</v>
          </cell>
          <cell r="J50" t="str">
            <v>Yes</v>
          </cell>
          <cell r="K50">
            <v>8</v>
          </cell>
          <cell r="L50">
            <v>9.1E-4</v>
          </cell>
          <cell r="N50" t="str">
            <v>Self-Contained Units, Continuous Type</v>
          </cell>
          <cell r="O50">
            <v>118</v>
          </cell>
          <cell r="P50">
            <v>0.01</v>
          </cell>
        </row>
        <row r="51">
          <cell r="H51" t="str">
            <v>Restaurant – CoolerNo</v>
          </cell>
          <cell r="I51" t="str">
            <v>Restaurant – Cooler</v>
          </cell>
          <cell r="J51" t="str">
            <v>No</v>
          </cell>
          <cell r="K51">
            <v>30</v>
          </cell>
          <cell r="L51">
            <v>3.4199999999999999E-3</v>
          </cell>
        </row>
        <row r="52">
          <cell r="H52" t="str">
            <v>Restaurant – CoolerUnknown</v>
          </cell>
          <cell r="I52" t="str">
            <v>Restaurant – Cooler</v>
          </cell>
          <cell r="J52" t="str">
            <v>Unknown</v>
          </cell>
          <cell r="K52">
            <v>18</v>
          </cell>
          <cell r="L52">
            <v>2.0500000000000002E-3</v>
          </cell>
        </row>
        <row r="53">
          <cell r="H53" t="str">
            <v>Restaurant - FreezerYes</v>
          </cell>
          <cell r="I53" t="str">
            <v>Restaurant - Freezer</v>
          </cell>
          <cell r="J53" t="str">
            <v>Yes</v>
          </cell>
          <cell r="K53">
            <v>34</v>
          </cell>
          <cell r="L53">
            <v>3.8800000000000002E-3</v>
          </cell>
        </row>
        <row r="54">
          <cell r="H54" t="str">
            <v>Restaurant - FreezerNo</v>
          </cell>
          <cell r="I54" t="str">
            <v>Restaurant - Freezer</v>
          </cell>
          <cell r="J54" t="str">
            <v>No</v>
          </cell>
          <cell r="K54">
            <v>119</v>
          </cell>
          <cell r="L54">
            <v>1.358E-2</v>
          </cell>
        </row>
        <row r="55">
          <cell r="H55" t="str">
            <v>Restaurant - FreezerUnknown</v>
          </cell>
          <cell r="I55" t="str">
            <v>Restaurant - Freezer</v>
          </cell>
          <cell r="J55" t="str">
            <v>Unknown</v>
          </cell>
          <cell r="K55">
            <v>81</v>
          </cell>
          <cell r="L55">
            <v>9.2499999999999995E-3</v>
          </cell>
        </row>
        <row r="56">
          <cell r="H56" t="str">
            <v>Refrigerated WarehouseYes</v>
          </cell>
          <cell r="I56" t="str">
            <v>Refrigerated Warehouse</v>
          </cell>
          <cell r="J56" t="str">
            <v>Yes</v>
          </cell>
          <cell r="K56">
            <v>254</v>
          </cell>
          <cell r="L56">
            <v>2.9000000000000001E-2</v>
          </cell>
        </row>
        <row r="57">
          <cell r="H57" t="str">
            <v>Refrigerated WarehouseNo</v>
          </cell>
          <cell r="I57" t="str">
            <v>Refrigerated Warehouse</v>
          </cell>
          <cell r="J57" t="str">
            <v>No</v>
          </cell>
          <cell r="K57">
            <v>729</v>
          </cell>
          <cell r="L57">
            <v>8.3220000000000002E-2</v>
          </cell>
        </row>
        <row r="58">
          <cell r="H58" t="str">
            <v>Refrigerated WarehouseUnknown</v>
          </cell>
          <cell r="I58" t="str">
            <v>Refrigerated Warehouse</v>
          </cell>
          <cell r="J58" t="str">
            <v>Unknown</v>
          </cell>
          <cell r="K58">
            <v>287</v>
          </cell>
          <cell r="L58">
            <v>3.2759999999999997E-2</v>
          </cell>
        </row>
        <row r="78">
          <cell r="U78" t="str">
            <v>Showerhead Savings (Building Type)</v>
          </cell>
          <cell r="V78" t="str">
            <v>kWh</v>
          </cell>
          <cell r="W78" t="str">
            <v>kW</v>
          </cell>
        </row>
        <row r="79">
          <cell r="U79" t="str">
            <v>Hospital</v>
          </cell>
          <cell r="V79">
            <v>495.33452376927249</v>
          </cell>
          <cell r="W79">
            <v>4.071242661117308E-2</v>
          </cell>
        </row>
        <row r="80">
          <cell r="U80" t="str">
            <v>Lodging</v>
          </cell>
          <cell r="V80">
            <v>695.69455585572007</v>
          </cell>
          <cell r="W80">
            <v>3.8120249635929866E-2</v>
          </cell>
        </row>
        <row r="81">
          <cell r="U81" t="str">
            <v>Commercial</v>
          </cell>
          <cell r="V81">
            <v>369.76642146851964</v>
          </cell>
          <cell r="W81">
            <v>0.11832525486992629</v>
          </cell>
        </row>
        <row r="82">
          <cell r="U82" t="str">
            <v>Fitness Center</v>
          </cell>
          <cell r="V82">
            <v>11097.719555010446</v>
          </cell>
          <cell r="W82">
            <v>2.4323768887694128</v>
          </cell>
        </row>
        <row r="83">
          <cell r="U83" t="str">
            <v>School</v>
          </cell>
          <cell r="V83">
            <v>402.54983615541937</v>
          </cell>
          <cell r="W83">
            <v>0.10063745903885485</v>
          </cell>
        </row>
        <row r="84">
          <cell r="U84" t="str">
            <v>Other</v>
          </cell>
          <cell r="V84">
            <v>369.76642146851964</v>
          </cell>
          <cell r="W84">
            <v>0.11832525486992629</v>
          </cell>
        </row>
      </sheetData>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able application &amp; instruct"/>
      <sheetName val="Equipment qualifications"/>
      <sheetName val="Summary"/>
      <sheetName val="HVAC"/>
      <sheetName val="Refrigeration"/>
      <sheetName val="Food service"/>
      <sheetName val="Misc."/>
      <sheetName val="Custom"/>
      <sheetName val="Completion notice"/>
      <sheetName val="QC"/>
      <sheetName val="Printable application"/>
      <sheetName val="Lookups"/>
      <sheetName val="Savings Lookups"/>
      <sheetName val="APTracks Export Data"/>
      <sheetName val="Change Log"/>
    </sheetNames>
    <sheetDataSet>
      <sheetData sheetId="0">
        <row r="17">
          <cell r="J17" t="str">
            <v>Non-Lighting 2024 - v4.3</v>
          </cell>
        </row>
      </sheetData>
      <sheetData sheetId="1"/>
      <sheetData sheetId="2">
        <row r="12">
          <cell r="C12">
            <v>133000</v>
          </cell>
        </row>
      </sheetData>
      <sheetData sheetId="3"/>
      <sheetData sheetId="4"/>
      <sheetData sheetId="5"/>
      <sheetData sheetId="6"/>
      <sheetData sheetId="7"/>
      <sheetData sheetId="8"/>
      <sheetData sheetId="9">
        <row r="19">
          <cell r="B19">
            <v>148752.5</v>
          </cell>
          <cell r="D19">
            <v>184752.5</v>
          </cell>
        </row>
        <row r="21">
          <cell r="G21">
            <v>100000</v>
          </cell>
        </row>
      </sheetData>
      <sheetData sheetId="10"/>
      <sheetData sheetId="11">
        <row r="2">
          <cell r="AC2" t="str">
            <v>Measure Number</v>
          </cell>
          <cell r="AD2" t="str">
            <v>Measure Name</v>
          </cell>
        </row>
        <row r="3">
          <cell r="B3" t="str">
            <v>Small Commercial Solutions</v>
          </cell>
          <cell r="J3" t="str">
            <v>Equipment Type</v>
          </cell>
          <cell r="K3" t="str">
            <v>Min EER</v>
          </cell>
          <cell r="L3" t="str">
            <v>Min SEER/IEER</v>
          </cell>
          <cell r="M3" t="str">
            <v>Min Htg Eff. (HSPF)</v>
          </cell>
          <cell r="N3" t="str">
            <v>Min EER</v>
          </cell>
          <cell r="O3" t="str">
            <v>Min SEER/IEER</v>
          </cell>
          <cell r="P3" t="str">
            <v>Min Htg Eff. (HSPF)</v>
          </cell>
          <cell r="Q3" t="str">
            <v>Min</v>
          </cell>
          <cell r="R3" t="str">
            <v>Max</v>
          </cell>
          <cell r="T3" t="str">
            <v>Cooler (medium-temp.)</v>
          </cell>
          <cell r="V3" t="str">
            <v>Electric/Electric</v>
          </cell>
          <cell r="Y3" t="str">
            <v>Prison</v>
          </cell>
          <cell r="AA3" t="str">
            <v>Retrofit</v>
          </cell>
          <cell r="AC3"/>
          <cell r="AD3"/>
        </row>
        <row r="4">
          <cell r="B4" t="str">
            <v>Large Commercial &amp; Industrial Solutions</v>
          </cell>
          <cell r="J4" t="str">
            <v>A/C Unit (&lt; 5.42 Tons) - Min. efficiency of 12.3 EER/14.5 SEER2</v>
          </cell>
          <cell r="K4">
            <v>11.8</v>
          </cell>
          <cell r="L4">
            <v>13.4</v>
          </cell>
          <cell r="M4"/>
          <cell r="N4">
            <v>12.3</v>
          </cell>
          <cell r="O4">
            <v>14.5</v>
          </cell>
          <cell r="P4"/>
          <cell r="Q4">
            <v>0</v>
          </cell>
          <cell r="R4">
            <v>5.4199900000000003</v>
          </cell>
          <cell r="T4" t="str">
            <v>Freezer (low temp.)</v>
          </cell>
          <cell r="V4" t="str">
            <v>Gas/Electric</v>
          </cell>
          <cell r="Y4" t="str">
            <v>Hospital, Nursing Home</v>
          </cell>
          <cell r="AA4" t="str">
            <v>New Construction</v>
          </cell>
          <cell r="AC4">
            <v>202725</v>
          </cell>
          <cell r="AD4" t="str">
            <v>202725-HVAC-Demand Control Ventilation Replacing No Existing Equipment or Failed Equipment</v>
          </cell>
        </row>
        <row r="5">
          <cell r="J5" t="str">
            <v>A/C Unit (5.42 - 11.24 Tons) - Min. efficiency 12.2 EER/14.8 SEER</v>
          </cell>
          <cell r="K5">
            <v>11.1</v>
          </cell>
          <cell r="L5">
            <v>14.7</v>
          </cell>
          <cell r="M5"/>
          <cell r="N5">
            <v>12.2</v>
          </cell>
          <cell r="O5">
            <v>14.8</v>
          </cell>
          <cell r="P5"/>
          <cell r="Q5">
            <v>5.42</v>
          </cell>
          <cell r="R5">
            <v>11.24</v>
          </cell>
          <cell r="Y5" t="str">
            <v>Dormitory</v>
          </cell>
          <cell r="AC5">
            <v>202730</v>
          </cell>
          <cell r="AD5" t="str">
            <v>202730-HVAC-Demand Control Ventilation Replacing Existing Equipment</v>
          </cell>
        </row>
        <row r="6">
          <cell r="B6" t="str">
            <v>Measure Name</v>
          </cell>
          <cell r="C6" t="str">
            <v>Incentive - SC</v>
          </cell>
          <cell r="D6" t="str">
            <v>Incentive - LC</v>
          </cell>
          <cell r="E6" t="str">
            <v>Metric</v>
          </cell>
          <cell r="F6" t="str">
            <v>Measure Number</v>
          </cell>
          <cell r="G6" t="str">
            <v>Type</v>
          </cell>
          <cell r="J6" t="str">
            <v>A/C Unit (11.25 - 19.9 Tons) - Min. efficiency 12.2 EER/14.8 SEER</v>
          </cell>
          <cell r="K6">
            <v>10.9</v>
          </cell>
          <cell r="L6">
            <v>14.1</v>
          </cell>
          <cell r="M6"/>
          <cell r="N6">
            <v>12.2</v>
          </cell>
          <cell r="O6">
            <v>14.8</v>
          </cell>
          <cell r="P6"/>
          <cell r="Q6">
            <v>11.25</v>
          </cell>
          <cell r="R6">
            <v>19.998999999999999</v>
          </cell>
          <cell r="Y6" t="str">
            <v>Multifamily</v>
          </cell>
          <cell r="AC6">
            <v>202825</v>
          </cell>
          <cell r="AD6" t="str">
            <v>202825-HVAC-HVAC Controls / EMS Replacing No Existing Equipment or Failed Equipment</v>
          </cell>
        </row>
        <row r="7">
          <cell r="B7" t="str">
            <v>A/C Unit (&lt; 5.42 Tons) - Min. efficiency of 12.3 EER/14.5 SEER2</v>
          </cell>
          <cell r="C7">
            <v>18</v>
          </cell>
          <cell r="D7">
            <v>17</v>
          </cell>
          <cell r="E7" t="str">
            <v>Ton</v>
          </cell>
          <cell r="F7">
            <v>228030</v>
          </cell>
          <cell r="G7" t="str">
            <v>HVAC</v>
          </cell>
          <cell r="J7" t="str">
            <v>A/C Unit (&gt;= 20 Tons) - Min. efficiency 10.8 EER/13.5 SEER</v>
          </cell>
          <cell r="K7">
            <v>9.9</v>
          </cell>
          <cell r="L7">
            <v>13.1</v>
          </cell>
          <cell r="M7"/>
          <cell r="N7">
            <v>10.8</v>
          </cell>
          <cell r="O7">
            <v>13.5</v>
          </cell>
          <cell r="P7"/>
          <cell r="Q7">
            <v>20</v>
          </cell>
          <cell r="R7">
            <v>999999</v>
          </cell>
          <cell r="V7" t="str">
            <v>Half-Size</v>
          </cell>
          <cell r="Y7" t="str">
            <v>Lodging</v>
          </cell>
          <cell r="AA7" t="str">
            <v>VFD's/Motors</v>
          </cell>
          <cell r="AC7">
            <v>202830</v>
          </cell>
          <cell r="AD7" t="str">
            <v>202830-HVAC-HVAC Controls / EMS Replacing Existing Equipment</v>
          </cell>
        </row>
        <row r="8">
          <cell r="B8" t="str">
            <v>A/C Unit (5.42 - 11.24 Tons) - Min. efficiency 12.2 EER/14.8 SEER</v>
          </cell>
          <cell r="C8">
            <v>45</v>
          </cell>
          <cell r="D8">
            <v>42</v>
          </cell>
          <cell r="E8" t="str">
            <v>Ton</v>
          </cell>
          <cell r="F8">
            <v>228130</v>
          </cell>
          <cell r="G8" t="str">
            <v>HVAC</v>
          </cell>
          <cell r="J8" t="str">
            <v>Heat Pump (&lt; 5.42 Tons) - Min. efficiency 12.3 EER/14.5 SEER2/8.0 HSPF2</v>
          </cell>
          <cell r="K8">
            <v>11.8</v>
          </cell>
          <cell r="L8">
            <v>13.4</v>
          </cell>
          <cell r="M8">
            <v>7.1</v>
          </cell>
          <cell r="N8">
            <v>12.3</v>
          </cell>
          <cell r="O8">
            <v>14.5</v>
          </cell>
          <cell r="P8">
            <v>8</v>
          </cell>
          <cell r="Q8">
            <v>0</v>
          </cell>
          <cell r="R8">
            <v>5.4199900000000003</v>
          </cell>
          <cell r="V8" t="str">
            <v>Full-Size</v>
          </cell>
          <cell r="Y8" t="str">
            <v>Commercial</v>
          </cell>
          <cell r="AA8" t="str">
            <v>Fans/Pumps</v>
          </cell>
          <cell r="AC8">
            <v>202925</v>
          </cell>
          <cell r="AD8" t="str">
            <v>202925-HVAC-Advanced RTU Compressor Controller Replacing No Existing Equipment or Failed Equipment</v>
          </cell>
        </row>
        <row r="9">
          <cell r="B9" t="str">
            <v>A/C Unit (11.25 - 19.9 Tons) - Min. efficiency 12.2 EER/14.8 SEER</v>
          </cell>
          <cell r="C9">
            <v>70</v>
          </cell>
          <cell r="D9">
            <v>66</v>
          </cell>
          <cell r="E9" t="str">
            <v>Ton</v>
          </cell>
          <cell r="F9">
            <v>228230</v>
          </cell>
          <cell r="G9" t="str">
            <v>HVAC</v>
          </cell>
          <cell r="J9" t="str">
            <v>Heat Pump (5.42 - 11.24 Tons) - Min. efficiency 11.3 EER/14.5 SEER/12.0 HSPF</v>
          </cell>
          <cell r="K9">
            <v>10.9</v>
          </cell>
          <cell r="L9">
            <v>14</v>
          </cell>
          <cell r="M9">
            <v>11.6008</v>
          </cell>
          <cell r="N9">
            <v>11.3</v>
          </cell>
          <cell r="O9">
            <v>14.5</v>
          </cell>
          <cell r="P9">
            <v>12</v>
          </cell>
          <cell r="Q9">
            <v>5.42</v>
          </cell>
          <cell r="R9">
            <v>11.24</v>
          </cell>
          <cell r="Y9" t="str">
            <v>School</v>
          </cell>
          <cell r="AA9" t="str">
            <v>HVAC - DX, Packaged/Rooftop Units</v>
          </cell>
          <cell r="AC9">
            <v>202930</v>
          </cell>
          <cell r="AD9" t="str">
            <v>202930-HVAC-Advanced RTU Compressor Controller Replacing Existing Equipment</v>
          </cell>
        </row>
        <row r="10">
          <cell r="B10" t="str">
            <v>A/C Unit (&gt;= 20 Tons) - Min. efficiency 10.8 EER/13.5 SEER</v>
          </cell>
          <cell r="C10">
            <v>46</v>
          </cell>
          <cell r="D10">
            <v>43</v>
          </cell>
          <cell r="E10" t="str">
            <v>Ton</v>
          </cell>
          <cell r="F10">
            <v>228330</v>
          </cell>
          <cell r="G10" t="str">
            <v>HVAC</v>
          </cell>
          <cell r="J10" t="str">
            <v>Heat Pump (11.25 - 19.9 Tons) - Min. efficiency 10.9 EER/14.0 SEER/12.0 HSPF</v>
          </cell>
          <cell r="K10">
            <v>10.5</v>
          </cell>
          <cell r="L10">
            <v>13.4</v>
          </cell>
          <cell r="M10">
            <v>11.259599999999999</v>
          </cell>
          <cell r="N10">
            <v>10.9</v>
          </cell>
          <cell r="O10">
            <v>14</v>
          </cell>
          <cell r="P10">
            <v>12</v>
          </cell>
          <cell r="Q10">
            <v>11.25</v>
          </cell>
          <cell r="R10">
            <v>19.9999</v>
          </cell>
          <cell r="Y10" t="str">
            <v>Other</v>
          </cell>
          <cell r="AA10" t="str">
            <v>HVAC - Chillers</v>
          </cell>
          <cell r="AC10">
            <v>203025</v>
          </cell>
          <cell r="AD10" t="str">
            <v>203025-HVAC-Air Cooled Chiller Replacing No Existing Equipment or Failed Equipment</v>
          </cell>
        </row>
        <row r="11">
          <cell r="B11" t="str">
            <v>Heat Pump (&lt; 5.42 Tons) - Min. efficiency 12.3 EER/14.5 SEER2/8.0 HSPF2</v>
          </cell>
          <cell r="C11">
            <v>45</v>
          </cell>
          <cell r="D11">
            <v>42</v>
          </cell>
          <cell r="E11" t="str">
            <v>Ton</v>
          </cell>
          <cell r="F11">
            <v>228430</v>
          </cell>
          <cell r="G11" t="str">
            <v>HVAC</v>
          </cell>
          <cell r="J11" t="str">
            <v>Heat Pump (&gt;= 20 Tons) - Min. efficiency 10.3 EER/13.0 SEER/12.0 HSPF</v>
          </cell>
          <cell r="K11">
            <v>9.4</v>
          </cell>
          <cell r="L11">
            <v>12.4</v>
          </cell>
          <cell r="M11">
            <v>10.9184</v>
          </cell>
          <cell r="N11">
            <v>10.3</v>
          </cell>
          <cell r="O11">
            <v>13</v>
          </cell>
          <cell r="P11">
            <v>12</v>
          </cell>
          <cell r="Q11">
            <v>20</v>
          </cell>
          <cell r="R11">
            <v>999999</v>
          </cell>
          <cell r="AA11" t="str">
            <v>Compressed Air</v>
          </cell>
          <cell r="AC11">
            <v>203030</v>
          </cell>
          <cell r="AD11" t="str">
            <v>203030-HVAC-Air Cooled Chiller Replacing Existing Equipment</v>
          </cell>
        </row>
        <row r="12">
          <cell r="B12" t="str">
            <v>Heat Pump (5.42 - 11.24 Tons) - Min. efficiency 11.3 EER/14.5 SEER/12.0 HSPF</v>
          </cell>
          <cell r="C12">
            <v>32</v>
          </cell>
          <cell r="D12">
            <v>30</v>
          </cell>
          <cell r="E12" t="str">
            <v>Ton</v>
          </cell>
          <cell r="F12">
            <v>228530</v>
          </cell>
          <cell r="G12" t="str">
            <v>HVAC</v>
          </cell>
          <cell r="AA12" t="str">
            <v>Process Cooling</v>
          </cell>
          <cell r="AC12">
            <v>203125</v>
          </cell>
          <cell r="AD12" t="str">
            <v>203125-HVAC-Water Cooled Chiller Replacing No Existing Equipment or Failed Equipment</v>
          </cell>
        </row>
        <row r="13">
          <cell r="B13" t="str">
            <v>Heat Pump (11.25 - 19.9 Tons) - Min. efficiency 10.9 EER/14.0 SEER/12.0 HSPF</v>
          </cell>
          <cell r="C13">
            <v>39</v>
          </cell>
          <cell r="D13">
            <v>37</v>
          </cell>
          <cell r="E13" t="str">
            <v>Ton</v>
          </cell>
          <cell r="F13">
            <v>228630</v>
          </cell>
          <cell r="G13" t="str">
            <v>HVAC</v>
          </cell>
          <cell r="J13" t="str">
            <v>Building Type</v>
          </cell>
          <cell r="K13" t="str">
            <v>EFLHc</v>
          </cell>
          <cell r="L13" t="str">
            <v>EFLHh</v>
          </cell>
          <cell r="M13" t="str">
            <v>CF</v>
          </cell>
          <cell r="Y13" t="str">
            <v>Fast Food</v>
          </cell>
          <cell r="AA13" t="str">
            <v xml:space="preserve">Process Heating </v>
          </cell>
          <cell r="AC13">
            <v>203130</v>
          </cell>
          <cell r="AD13" t="str">
            <v>203130-HVAC-Water Cooled Chiller Replacing Existing Equipment</v>
          </cell>
        </row>
        <row r="14">
          <cell r="B14" t="str">
            <v>Heat Pump (&gt;= 20 Tons) - Min. efficiency 10.3 EER/13.0 SEER/12.0 HSPF</v>
          </cell>
          <cell r="C14">
            <v>69</v>
          </cell>
          <cell r="D14">
            <v>64</v>
          </cell>
          <cell r="E14" t="str">
            <v>Ton</v>
          </cell>
          <cell r="F14">
            <v>228730</v>
          </cell>
          <cell r="G14" t="str">
            <v>HVAC</v>
          </cell>
          <cell r="J14" t="str">
            <v>Assembly</v>
          </cell>
          <cell r="K14">
            <v>2624.4331596223719</v>
          </cell>
          <cell r="L14">
            <v>514.54553052325582</v>
          </cell>
          <cell r="M14">
            <v>0.82</v>
          </cell>
          <cell r="Y14" t="str">
            <v>Casual Dining</v>
          </cell>
          <cell r="AA14" t="str">
            <v xml:space="preserve">Process Heat Recovery </v>
          </cell>
          <cell r="AC14">
            <v>203225</v>
          </cell>
          <cell r="AD14" t="str">
            <v>203225-HVAC-Cooling Only HVAC Equipment Replacing No Existing Equipment or Failed Equipment</v>
          </cell>
        </row>
        <row r="15">
          <cell r="B15" t="str">
            <v xml:space="preserve">Guest Room Energy Management Controls </v>
          </cell>
          <cell r="C15">
            <v>90</v>
          </cell>
          <cell r="D15">
            <v>80</v>
          </cell>
          <cell r="E15" t="str">
            <v>Room</v>
          </cell>
          <cell r="F15">
            <v>228825</v>
          </cell>
          <cell r="G15" t="str">
            <v>HVAC</v>
          </cell>
          <cell r="J15" t="str">
            <v>Fast Food</v>
          </cell>
          <cell r="K15">
            <v>1790.5345410769364</v>
          </cell>
          <cell r="L15">
            <v>193.80179162328227</v>
          </cell>
          <cell r="M15">
            <v>0.78</v>
          </cell>
          <cell r="Y15" t="str">
            <v>Institutional</v>
          </cell>
          <cell r="AA15" t="str">
            <v>Building Automation System</v>
          </cell>
          <cell r="AC15">
            <v>203230</v>
          </cell>
          <cell r="AD15" t="str">
            <v>203230-HVAC-Cooling Only HVAC Equipment Replacing Existing Equipment</v>
          </cell>
        </row>
        <row r="16">
          <cell r="B16"/>
          <cell r="C16"/>
          <cell r="D16"/>
          <cell r="E16"/>
          <cell r="F16"/>
          <cell r="G16"/>
          <cell r="J16" t="str">
            <v>Grocery</v>
          </cell>
          <cell r="K16">
            <v>1654.6710198226535</v>
          </cell>
          <cell r="L16">
            <v>503.33976072849578</v>
          </cell>
          <cell r="M16">
            <v>0.9</v>
          </cell>
          <cell r="Y16" t="str">
            <v>Dormitory</v>
          </cell>
          <cell r="AA16" t="str">
            <v>Other (describe)</v>
          </cell>
          <cell r="AC16">
            <v>203325</v>
          </cell>
          <cell r="AD16" t="str">
            <v>203325-HVAC-Packaged / Rooftop Unit Replacing No Existing Equipment or Failed Equipment</v>
          </cell>
        </row>
        <row r="17">
          <cell r="B17"/>
          <cell r="C17"/>
          <cell r="D17"/>
          <cell r="E17"/>
          <cell r="F17"/>
          <cell r="G17"/>
          <cell r="J17" t="str">
            <v>Health Clinic</v>
          </cell>
          <cell r="K17">
            <v>1590.6637476836327</v>
          </cell>
          <cell r="L17">
            <v>541.95837030364612</v>
          </cell>
          <cell r="M17">
            <v>0.85</v>
          </cell>
          <cell r="Y17" t="str">
            <v>K-12 School</v>
          </cell>
          <cell r="AC17">
            <v>203330</v>
          </cell>
          <cell r="AD17" t="str">
            <v>203330-HVAC-Packaged / Rooftop Unit Replacing Existing Equipment</v>
          </cell>
        </row>
        <row r="18">
          <cell r="B18" t="str">
            <v>Duct Sealing</v>
          </cell>
          <cell r="C18">
            <v>0.7</v>
          </cell>
          <cell r="D18">
            <v>0.65</v>
          </cell>
          <cell r="E18" t="str">
            <v>CFM Reduced</v>
          </cell>
          <cell r="F18">
            <v>829025</v>
          </cell>
          <cell r="G18" t="str">
            <v>HVAC</v>
          </cell>
          <cell r="J18" t="str">
            <v>Office</v>
          </cell>
          <cell r="K18">
            <v>2133.2805663789318</v>
          </cell>
          <cell r="L18">
            <v>445.94919311647766</v>
          </cell>
          <cell r="M18">
            <v>0.84</v>
          </cell>
          <cell r="Y18" t="str">
            <v>Other</v>
          </cell>
          <cell r="AC18">
            <v>203425</v>
          </cell>
          <cell r="AD18" t="str">
            <v>203425-HVAC-Chiller Control Optimization Replacing No Existing Equipment or Failed Equipment</v>
          </cell>
        </row>
        <row r="19">
          <cell r="B19" t="str">
            <v>Air Cooled Chiller &lt;150 Tons (min. eff. of 1.18 kW/ton full load and 0.76 kW/ton IPLV)</v>
          </cell>
          <cell r="C19">
            <v>67</v>
          </cell>
          <cell r="D19">
            <v>63</v>
          </cell>
          <cell r="E19" t="str">
            <v>Ton</v>
          </cell>
          <cell r="F19">
            <v>229130</v>
          </cell>
          <cell r="G19" t="str">
            <v>HVAC</v>
          </cell>
          <cell r="J19" t="str">
            <v>Lodging</v>
          </cell>
          <cell r="K19">
            <v>1506.1554912739043</v>
          </cell>
          <cell r="L19">
            <v>329.42162368567841</v>
          </cell>
          <cell r="M19">
            <v>0.77</v>
          </cell>
          <cell r="AC19">
            <v>203430</v>
          </cell>
          <cell r="AD19" t="str">
            <v>203430-HVAC-Chiller Control Optimization Replacing Existing Equipment</v>
          </cell>
        </row>
        <row r="20">
          <cell r="B20" t="str">
            <v>Air Cooled Chiller &gt;=150 Tons (min. eff. of 1.18 kW/ton full load and 0.75 kW/ton IPLV)</v>
          </cell>
          <cell r="C20">
            <v>65</v>
          </cell>
          <cell r="D20">
            <v>61</v>
          </cell>
          <cell r="E20" t="str">
            <v>Ton</v>
          </cell>
          <cell r="F20">
            <v>229230</v>
          </cell>
          <cell r="G20" t="str">
            <v>HVAC</v>
          </cell>
          <cell r="J20" t="str">
            <v>Full Menu Restaurant</v>
          </cell>
          <cell r="K20">
            <v>2308.8152919500835</v>
          </cell>
          <cell r="L20">
            <v>122.74113753967957</v>
          </cell>
          <cell r="M20">
            <v>0.85</v>
          </cell>
          <cell r="AC20">
            <v>203525</v>
          </cell>
          <cell r="AD20" t="str">
            <v>203525-HVAC-VFD for Chiller Replacing No Existing Equipment or Failed Equipment</v>
          </cell>
        </row>
        <row r="21">
          <cell r="B21" t="str">
            <v>Water Cooled Screw/Scroll Chiller &lt;75 Tons (min. eff. of 0.74 kW/ton full load and 0.50 kW/ton IPLV)</v>
          </cell>
          <cell r="C21">
            <v>43</v>
          </cell>
          <cell r="D21">
            <v>41</v>
          </cell>
          <cell r="E21" t="str">
            <v>Ton</v>
          </cell>
          <cell r="F21">
            <v>229330</v>
          </cell>
          <cell r="G21" t="str">
            <v>HVAC</v>
          </cell>
          <cell r="J21" t="str">
            <v>Religious Worship</v>
          </cell>
          <cell r="K21">
            <v>2340.7809886765726</v>
          </cell>
          <cell r="L21">
            <v>481.0791545542636</v>
          </cell>
          <cell r="M21">
            <v>0.82</v>
          </cell>
          <cell r="T21" t="str">
            <v>0 - 15 cu. ft.</v>
          </cell>
          <cell r="Y21" t="str">
            <v>Hospital</v>
          </cell>
          <cell r="AC21">
            <v>203625</v>
          </cell>
          <cell r="AD21" t="str">
            <v>203625-HVAC-VFD for Fan Replacing No Existing Equipment or Failed Equipment</v>
          </cell>
        </row>
        <row r="22">
          <cell r="B22" t="str">
            <v>Water Cooled Screw/Scroll Chiller &gt;= 75 and &lt;150 Tons (min. eff. of 0.71 kW/ton full load and 0.49 kW/ton IPLV)</v>
          </cell>
          <cell r="C22">
            <v>42</v>
          </cell>
          <cell r="D22">
            <v>39</v>
          </cell>
          <cell r="E22" t="str">
            <v>Ton</v>
          </cell>
          <cell r="F22">
            <v>229430</v>
          </cell>
          <cell r="G22" t="str">
            <v>HVAC</v>
          </cell>
          <cell r="J22" t="str">
            <v>Retail</v>
          </cell>
          <cell r="K22">
            <v>1640.8270712051362</v>
          </cell>
          <cell r="L22">
            <v>658.00073682484617</v>
          </cell>
          <cell r="M22">
            <v>0.88</v>
          </cell>
          <cell r="T22" t="str">
            <v>15 - 30 cu. ft</v>
          </cell>
          <cell r="Y22" t="str">
            <v>Lodging</v>
          </cell>
          <cell r="AC22">
            <v>203725</v>
          </cell>
          <cell r="AD22" t="str">
            <v>203725-HVAC-PTAC Unit Replacing No Existing Equipment or Failed Equipment</v>
          </cell>
        </row>
        <row r="23">
          <cell r="B23" t="str">
            <v>Water Cooled Screw/Scroll Chiller &gt;=150 Tons and &lt;300 Tons (min. eff. of 0.65 kW/ton full load and 0.44 kW/ton IPLV)</v>
          </cell>
          <cell r="C23">
            <v>47</v>
          </cell>
          <cell r="D23">
            <v>44</v>
          </cell>
          <cell r="E23" t="str">
            <v>Ton</v>
          </cell>
          <cell r="F23">
            <v>229530</v>
          </cell>
          <cell r="G23" t="str">
            <v>HVAC</v>
          </cell>
          <cell r="J23" t="str">
            <v>School</v>
          </cell>
          <cell r="K23">
            <v>1545.2570168203831</v>
          </cell>
          <cell r="L23">
            <v>480.02004704589683</v>
          </cell>
          <cell r="M23">
            <v>0.71</v>
          </cell>
          <cell r="T23" t="str">
            <v>30 - 50 cu. ft.</v>
          </cell>
          <cell r="Y23" t="str">
            <v>Commercial</v>
          </cell>
          <cell r="AC23">
            <v>203730</v>
          </cell>
          <cell r="AD23" t="str">
            <v>203730-HVAC-PTAC Unit Replacing Existing Equipment</v>
          </cell>
        </row>
        <row r="24">
          <cell r="B24" t="str">
            <v>Water Cooled Screw/Scroll Chiller &gt;=300 Tons (min. eff. of 0.57 kW/ton full load and 0.41 kW/ton IPLV)</v>
          </cell>
          <cell r="C24">
            <v>43</v>
          </cell>
          <cell r="D24">
            <v>41</v>
          </cell>
          <cell r="E24" t="str">
            <v>Ton</v>
          </cell>
          <cell r="F24">
            <v>229630</v>
          </cell>
          <cell r="G24" t="str">
            <v>HVAC</v>
          </cell>
          <cell r="J24" t="str">
            <v>University</v>
          </cell>
          <cell r="K24">
            <v>1647.2297631629247</v>
          </cell>
          <cell r="L24">
            <v>591.637182064895</v>
          </cell>
          <cell r="M24">
            <v>0.84</v>
          </cell>
          <cell r="T24" t="str">
            <v>≥ 50 cu. ft.</v>
          </cell>
          <cell r="Y24" t="str">
            <v>Fitness Center</v>
          </cell>
          <cell r="AC24">
            <v>203825</v>
          </cell>
          <cell r="AD24" t="str">
            <v>203825-HVAC-CRAC Unit Replacing No Existing Equipment or Failed Equipment</v>
          </cell>
        </row>
        <row r="25">
          <cell r="B25" t="str">
            <v>Water Cooled Centrifugal &lt;300 Tons (min. eff. of 0.60 kW/ton full load and 0.40 kW/ton IPLV)</v>
          </cell>
          <cell r="C25">
            <v>66</v>
          </cell>
          <cell r="D25">
            <v>61</v>
          </cell>
          <cell r="E25" t="str">
            <v>Ton</v>
          </cell>
          <cell r="F25">
            <v>229730</v>
          </cell>
          <cell r="G25" t="str">
            <v>HVAC</v>
          </cell>
          <cell r="J25" t="str">
            <v>All Other</v>
          </cell>
          <cell r="K25">
            <v>1909.6607686710386</v>
          </cell>
          <cell r="L25">
            <v>442.37031009390796</v>
          </cell>
          <cell r="M25">
            <v>0.82363636363636372</v>
          </cell>
          <cell r="Y25" t="str">
            <v>School</v>
          </cell>
          <cell r="AC25">
            <v>203830</v>
          </cell>
          <cell r="AD25" t="str">
            <v>203830-HVAC-CRAC Unit Replacing Existing Equipment</v>
          </cell>
        </row>
        <row r="26">
          <cell r="B26" t="str">
            <v>Water Cooled Centrifugal &gt;=300 and &lt;600 Tons (min. eff. of 0.55 kW/ton full load and 0.39 kW/ton IPLV)</v>
          </cell>
          <cell r="C26">
            <v>56</v>
          </cell>
          <cell r="D26">
            <v>53</v>
          </cell>
          <cell r="E26" t="str">
            <v>Ton</v>
          </cell>
          <cell r="F26">
            <v>229830</v>
          </cell>
          <cell r="G26" t="str">
            <v>HVAC</v>
          </cell>
          <cell r="Y26" t="str">
            <v>Other</v>
          </cell>
          <cell r="AC26">
            <v>203925</v>
          </cell>
          <cell r="AD26" t="str">
            <v>203925-HVAC-Ground Source Heat Pump Replacing No Existing Equipment or Failed Equipment</v>
          </cell>
        </row>
        <row r="27">
          <cell r="B27" t="str">
            <v>Water Cooled Centrifugal &gt;=600 Tons (min. eff. of 0.55 kW/ton full load and 0.38 kW/ton IPLV)</v>
          </cell>
          <cell r="C27">
            <v>53</v>
          </cell>
          <cell r="D27">
            <v>50</v>
          </cell>
          <cell r="E27" t="str">
            <v>Ton</v>
          </cell>
          <cell r="F27">
            <v>229930</v>
          </cell>
          <cell r="G27" t="str">
            <v>HVAC</v>
          </cell>
          <cell r="J27"/>
          <cell r="K27"/>
          <cell r="L27"/>
          <cell r="M27"/>
          <cell r="N27"/>
          <cell r="O27"/>
          <cell r="P27"/>
          <cell r="AC27">
            <v>203930</v>
          </cell>
          <cell r="AD27" t="str">
            <v>203930-HVAC-Ground Source Heat Pump Replacing Existing Equipment</v>
          </cell>
        </row>
        <row r="28">
          <cell r="B28" t="str">
            <v>ECM Motors (HVAC)</v>
          </cell>
          <cell r="C28">
            <v>57</v>
          </cell>
          <cell r="D28">
            <v>53</v>
          </cell>
          <cell r="E28" t="str">
            <v>Fan</v>
          </cell>
          <cell r="F28">
            <v>220125</v>
          </cell>
          <cell r="G28" t="str">
            <v>HVAC</v>
          </cell>
          <cell r="AC28">
            <v>204025</v>
          </cell>
          <cell r="AD28" t="str">
            <v>204025-HVAC-Water Loop Heat Pump Replacing No Existing Equipment or Failed Equipment</v>
          </cell>
        </row>
        <row r="29">
          <cell r="B29" t="str">
            <v>ECM Motors (Refrigeration)</v>
          </cell>
          <cell r="C29">
            <v>133</v>
          </cell>
          <cell r="D29">
            <v>125</v>
          </cell>
          <cell r="E29" t="str">
            <v>Fan</v>
          </cell>
          <cell r="F29">
            <v>420125</v>
          </cell>
          <cell r="G29" t="str">
            <v>Food Service/Retail/Refrigeration</v>
          </cell>
          <cell r="J29"/>
          <cell r="K29"/>
          <cell r="L29"/>
          <cell r="M29"/>
          <cell r="N29"/>
          <cell r="O29"/>
          <cell r="P29"/>
          <cell r="AC29">
            <v>204030</v>
          </cell>
          <cell r="AD29" t="str">
            <v>204030-HVAC-Water Loop Heat Pump Replacing Existing Equipment</v>
          </cell>
        </row>
        <row r="30">
          <cell r="B30" t="str">
            <v>Evaporator Fan Controllers (Refrigeration)</v>
          </cell>
          <cell r="C30">
            <v>65</v>
          </cell>
          <cell r="D30">
            <v>60</v>
          </cell>
          <cell r="E30" t="str">
            <v>Fan</v>
          </cell>
          <cell r="F30">
            <v>420225</v>
          </cell>
          <cell r="G30" t="str">
            <v>Food Service/Retail/Refrigeration</v>
          </cell>
          <cell r="J30"/>
          <cell r="K30"/>
          <cell r="L30"/>
          <cell r="M30"/>
          <cell r="N30"/>
          <cell r="O30"/>
          <cell r="P30"/>
          <cell r="AC30">
            <v>204125</v>
          </cell>
          <cell r="AD30" t="str">
            <v>204125-HVAC-ECM Motor for HVAC Replacing No Existing Equipment or Failed Equipment</v>
          </cell>
        </row>
        <row r="31">
          <cell r="B31" t="str">
            <v>Anti-Sweat Heater Controls (Refrigeration)</v>
          </cell>
          <cell r="C31">
            <v>40</v>
          </cell>
          <cell r="D31">
            <v>35</v>
          </cell>
          <cell r="E31" t="str">
            <v>Linear Ft.</v>
          </cell>
          <cell r="F31">
            <v>420325</v>
          </cell>
          <cell r="G31" t="str">
            <v>Food Service/Retail/Refrigeration</v>
          </cell>
          <cell r="T31" t="str">
            <v>Supermarket – Cooler</v>
          </cell>
          <cell r="AC31">
            <v>204130</v>
          </cell>
          <cell r="AD31" t="str">
            <v>204130-HVAC-ECM Motor for HVAC Replacing Existing Equipment</v>
          </cell>
        </row>
        <row r="32">
          <cell r="B32" t="str">
            <v>Night Cover (Refrigeration)</v>
          </cell>
          <cell r="C32">
            <v>20</v>
          </cell>
          <cell r="D32">
            <v>20</v>
          </cell>
          <cell r="E32" t="str">
            <v>Linear Ft.</v>
          </cell>
          <cell r="F32">
            <v>420425</v>
          </cell>
          <cell r="G32" t="str">
            <v>Food Service/Retail/Refrigeration</v>
          </cell>
          <cell r="T32" t="str">
            <v>Supermarket – Freezer</v>
          </cell>
          <cell r="AC32">
            <v>217130</v>
          </cell>
          <cell r="AD32" t="str">
            <v>217130-Ventilation-Efficient Circulation Fans Replacing Existing Equipment</v>
          </cell>
        </row>
        <row r="33">
          <cell r="B33" t="str">
            <v>Solid Door Reach-Ins (Refrigeration)</v>
          </cell>
          <cell r="C33">
            <v>65</v>
          </cell>
          <cell r="D33">
            <v>60</v>
          </cell>
          <cell r="E33" t="str">
            <v>Unit</v>
          </cell>
          <cell r="F33">
            <v>420525</v>
          </cell>
          <cell r="G33" t="str">
            <v>Food Service/Retail/Refrigeration</v>
          </cell>
          <cell r="J33" t="str">
            <v>Prescriptive Measure</v>
          </cell>
          <cell r="K33" t="str">
            <v>FL kW/ton</v>
          </cell>
          <cell r="L33" t="str">
            <v>IPLV kW/ton</v>
          </cell>
          <cell r="M33" t="str">
            <v>FL kW/ton</v>
          </cell>
          <cell r="N33" t="str">
            <v>IPLV kW/ton</v>
          </cell>
          <cell r="O33" t="str">
            <v>Min</v>
          </cell>
          <cell r="P33" t="str">
            <v>Max</v>
          </cell>
          <cell r="T33" t="str">
            <v>Convenience Store - Cooler</v>
          </cell>
          <cell r="AC33">
            <v>217230</v>
          </cell>
          <cell r="AD33" t="str">
            <v>217230-Ventilation-Efficient Ventilation/Exhaust Fans Replacing Existing Equipment</v>
          </cell>
        </row>
        <row r="34">
          <cell r="B34" t="str">
            <v>Strip Curtains (Refrigeration)</v>
          </cell>
          <cell r="C34">
            <v>12</v>
          </cell>
          <cell r="D34">
            <v>10</v>
          </cell>
          <cell r="E34" t="str">
            <v>Sq.Ft.</v>
          </cell>
          <cell r="F34">
            <v>420625</v>
          </cell>
          <cell r="G34" t="str">
            <v>Food Service/Retail/Refrigeration</v>
          </cell>
          <cell r="J34" t="str">
            <v>SELECT CHILLER MEASURE FROM DROPDOWN</v>
          </cell>
          <cell r="K34"/>
          <cell r="L34"/>
          <cell r="M34"/>
          <cell r="N34"/>
          <cell r="O34"/>
          <cell r="P34"/>
          <cell r="T34" t="str">
            <v>Convenience Store - Freezer</v>
          </cell>
          <cell r="AC34">
            <v>217330</v>
          </cell>
          <cell r="AD34" t="str">
            <v>217330-Ventilation-High-Volume-Low-Speed (HVLS) Fans Replacing Existing Equipment</v>
          </cell>
        </row>
        <row r="35">
          <cell r="B35" t="str">
            <v>Commercial dishwasher - ENERGY STAR® - Under counter</v>
          </cell>
          <cell r="C35">
            <v>418</v>
          </cell>
          <cell r="D35">
            <v>392</v>
          </cell>
          <cell r="E35" t="str">
            <v>Unit</v>
          </cell>
          <cell r="F35">
            <v>321030</v>
          </cell>
          <cell r="G35" t="str">
            <v>Commercial Kitchen</v>
          </cell>
          <cell r="J35" t="str">
            <v>Air Cooled Chiller &lt;150 Tons (min. eff. of 1.18 kW/ton full load and 0.76 kW/ton IPLV)</v>
          </cell>
          <cell r="K35">
            <v>1.1879999999999999</v>
          </cell>
          <cell r="L35">
            <v>0.876</v>
          </cell>
          <cell r="M35">
            <v>1.18</v>
          </cell>
          <cell r="N35">
            <v>0.76</v>
          </cell>
          <cell r="O35">
            <v>0</v>
          </cell>
          <cell r="P35">
            <v>149.999</v>
          </cell>
          <cell r="T35" t="str">
            <v>Restaurant – Cooler</v>
          </cell>
          <cell r="AC35">
            <v>304925</v>
          </cell>
          <cell r="AD35" t="str">
            <v>304925-Cooking-Commercial Cooker Replacing No Existing Equipment or Failed Equipment</v>
          </cell>
        </row>
        <row r="36">
          <cell r="B36" t="str">
            <v>Commercial dishwasher - ENERGY STAR® - Stationary Single Tank Door</v>
          </cell>
          <cell r="C36">
            <v>1991</v>
          </cell>
          <cell r="D36">
            <v>1866</v>
          </cell>
          <cell r="E36" t="str">
            <v>Unit</v>
          </cell>
          <cell r="F36">
            <v>321130</v>
          </cell>
          <cell r="G36" t="str">
            <v>Commercial Kitchen</v>
          </cell>
          <cell r="J36" t="str">
            <v>Air Cooled Chiller &gt;=150 Tons (min. eff. of 1.18 kW/ton full load and 0.75 kW/ton IPLV)</v>
          </cell>
          <cell r="K36">
            <v>1.1879999999999999</v>
          </cell>
          <cell r="L36">
            <v>0.85699999999999998</v>
          </cell>
          <cell r="M36">
            <v>1.18</v>
          </cell>
          <cell r="N36">
            <v>0.75</v>
          </cell>
          <cell r="O36">
            <v>150</v>
          </cell>
          <cell r="P36">
            <v>999999</v>
          </cell>
          <cell r="T36" t="str">
            <v>Restaurant - Freezer</v>
          </cell>
          <cell r="AC36">
            <v>304930</v>
          </cell>
          <cell r="AD36" t="str">
            <v>304930-Cooking-Commercial Cooker Replacing Existing Equipment</v>
          </cell>
        </row>
        <row r="37">
          <cell r="B37" t="str">
            <v>Commercial dishwasher - ENERGY STAR® - Pots, pans and utensils</v>
          </cell>
          <cell r="C37">
            <v>367</v>
          </cell>
          <cell r="D37">
            <v>344</v>
          </cell>
          <cell r="E37" t="str">
            <v>Unit</v>
          </cell>
          <cell r="F37">
            <v>321230</v>
          </cell>
          <cell r="G37" t="str">
            <v>Commercial Kitchen</v>
          </cell>
          <cell r="J37" t="str">
            <v>Water Cooled Screw/Scroll Chiller &lt;75 Tons (min. eff. of 0.74 kW/ton full load and 0.50 kW/ton IPLV)</v>
          </cell>
          <cell r="K37">
            <v>0.75</v>
          </cell>
          <cell r="L37">
            <v>0.6</v>
          </cell>
          <cell r="M37">
            <v>0.74</v>
          </cell>
          <cell r="N37">
            <v>0.5</v>
          </cell>
          <cell r="O37">
            <v>0</v>
          </cell>
          <cell r="P37">
            <v>74.998999999999995</v>
          </cell>
          <cell r="T37" t="str">
            <v>Refrigerated Warehouse</v>
          </cell>
          <cell r="AC37">
            <v>305025</v>
          </cell>
          <cell r="AD37" t="str">
            <v>305025-Cooking-Commercial Fryer Replacing No Existing Equipment or Failed Equipment</v>
          </cell>
        </row>
        <row r="38">
          <cell r="B38" t="str">
            <v>Commercial dishwasher - ENERGY STAR®- Single tank conveyor</v>
          </cell>
          <cell r="C38">
            <v>1679</v>
          </cell>
          <cell r="D38">
            <v>1574</v>
          </cell>
          <cell r="E38" t="str">
            <v>Unit</v>
          </cell>
          <cell r="F38">
            <v>321330</v>
          </cell>
          <cell r="G38" t="str">
            <v>Commercial Kitchen</v>
          </cell>
          <cell r="J38" t="str">
            <v>Water Cooled Screw/Scroll Chiller &gt;= 75 and &lt;150 Tons (min. eff. of 0.71 kW/ton full load and 0.49 kW/ton IPLV)</v>
          </cell>
          <cell r="K38">
            <v>0.72</v>
          </cell>
          <cell r="L38">
            <v>0.56000000000000005</v>
          </cell>
          <cell r="M38">
            <v>0.71</v>
          </cell>
          <cell r="N38">
            <v>0.49</v>
          </cell>
          <cell r="O38">
            <v>75</v>
          </cell>
          <cell r="P38">
            <v>149.999</v>
          </cell>
          <cell r="AC38">
            <v>305030</v>
          </cell>
          <cell r="AD38" t="str">
            <v>305030-Cooking-Commercial Fryer Replacing Existing Equipment</v>
          </cell>
        </row>
        <row r="39">
          <cell r="B39" t="str">
            <v>Commercial dishwasher - ENERGY STAR® - Multiple tank conveyor</v>
          </cell>
          <cell r="C39">
            <v>3097</v>
          </cell>
          <cell r="D39">
            <v>2903</v>
          </cell>
          <cell r="E39" t="str">
            <v>Unit</v>
          </cell>
          <cell r="F39">
            <v>321430</v>
          </cell>
          <cell r="G39" t="str">
            <v>Commercial Kitchen</v>
          </cell>
          <cell r="J39" t="str">
            <v>Water Cooled Screw/Scroll Chiller &gt;=150 Tons and &lt;300 Tons (min. eff. of 0.65 kW/ton full load and 0.44 kW/ton IPLV)</v>
          </cell>
          <cell r="K39">
            <v>0.66</v>
          </cell>
          <cell r="L39">
            <v>0.54</v>
          </cell>
          <cell r="M39">
            <v>0.65</v>
          </cell>
          <cell r="N39">
            <v>0.44</v>
          </cell>
          <cell r="O39">
            <v>150</v>
          </cell>
          <cell r="P39">
            <v>299.99900000000002</v>
          </cell>
          <cell r="AC39">
            <v>305125</v>
          </cell>
          <cell r="AD39" t="str">
            <v>305125-Cooking-Commercial Range Hood Replacing No Existing Equipment or Failed Equipment</v>
          </cell>
        </row>
        <row r="40">
          <cell r="B40" t="str">
            <v>Commercial ice maker - ENERGY STAR®</v>
          </cell>
          <cell r="C40">
            <v>91</v>
          </cell>
          <cell r="D40">
            <v>85</v>
          </cell>
          <cell r="E40" t="str">
            <v>Unit</v>
          </cell>
          <cell r="F40">
            <v>321530</v>
          </cell>
          <cell r="G40" t="str">
            <v>Commercial Kitchen</v>
          </cell>
          <cell r="J40" t="str">
            <v>Water Cooled Screw/Scroll Chiller &gt;=300 Tons (min. eff. of 0.57 kW/ton full load and 0.41 kW/ton IPLV)</v>
          </cell>
          <cell r="K40">
            <v>0.58499999999999996</v>
          </cell>
          <cell r="L40">
            <v>0.51</v>
          </cell>
          <cell r="M40">
            <v>0.56999999999999995</v>
          </cell>
          <cell r="N40">
            <v>0.41</v>
          </cell>
          <cell r="O40">
            <v>300</v>
          </cell>
          <cell r="P40">
            <v>999999</v>
          </cell>
          <cell r="T40" t="str">
            <v>Yes</v>
          </cell>
          <cell r="AC40">
            <v>305130</v>
          </cell>
          <cell r="AD40" t="str">
            <v>305130-Cooking-Commercial Range Hood Replacing Existing Equipment</v>
          </cell>
        </row>
        <row r="41">
          <cell r="B41" t="str">
            <v>Convection commercial oven - ENERGY STAR®</v>
          </cell>
          <cell r="C41">
            <v>309</v>
          </cell>
          <cell r="D41">
            <v>290</v>
          </cell>
          <cell r="E41" t="str">
            <v>Unit</v>
          </cell>
          <cell r="F41">
            <v>321630</v>
          </cell>
          <cell r="G41" t="str">
            <v>Commercial Kitchen</v>
          </cell>
          <cell r="J41" t="str">
            <v>Water Cooled Centrifugal &lt;300 Tons (min. eff. of 0.60 kW/ton full load and 0.40 kW/ton IPLV)</v>
          </cell>
          <cell r="K41">
            <v>0.61</v>
          </cell>
          <cell r="L41">
            <v>0.55000000000000004</v>
          </cell>
          <cell r="M41">
            <v>0.6</v>
          </cell>
          <cell r="N41">
            <v>0.4</v>
          </cell>
          <cell r="O41">
            <v>0</v>
          </cell>
          <cell r="P41">
            <v>299.99900000000002</v>
          </cell>
          <cell r="T41" t="str">
            <v>No</v>
          </cell>
          <cell r="AC41">
            <v>305225</v>
          </cell>
          <cell r="AD41" t="str">
            <v>305225-Cooking-Commercial Steamer Replacing No Existing Equipment or Failed Equipment</v>
          </cell>
        </row>
        <row r="42">
          <cell r="B42" t="str">
            <v>Combination commercial oven &lt;15 Pan - ENERGY STAR®</v>
          </cell>
          <cell r="C42">
            <v>1840</v>
          </cell>
          <cell r="D42">
            <v>1725</v>
          </cell>
          <cell r="E42" t="str">
            <v>Unit</v>
          </cell>
          <cell r="F42">
            <v>321730</v>
          </cell>
          <cell r="G42" t="str">
            <v>Commercial Kitchen</v>
          </cell>
          <cell r="J42" t="str">
            <v>Water Cooled Centrifugal &gt;=300 and &lt;600 Tons (min. eff. of 0.55 kW/ton full load and 0.39 kW/ton IPLV)</v>
          </cell>
          <cell r="K42">
            <v>0.56000000000000005</v>
          </cell>
          <cell r="L42">
            <v>0.51</v>
          </cell>
          <cell r="M42">
            <v>0.55000000000000004</v>
          </cell>
          <cell r="N42">
            <v>0.39</v>
          </cell>
          <cell r="O42">
            <v>300</v>
          </cell>
          <cell r="P42">
            <v>599.99900000000002</v>
          </cell>
          <cell r="T42" t="str">
            <v>Unknown</v>
          </cell>
          <cell r="AC42">
            <v>305230</v>
          </cell>
          <cell r="AD42" t="str">
            <v>305230-Cooking-Commercial Steamer Replacing Existing Equipment</v>
          </cell>
        </row>
        <row r="43">
          <cell r="B43" t="str">
            <v>Combination commercial oven &gt;=15 Pan - ENERGY STAR®</v>
          </cell>
          <cell r="C43">
            <v>2967</v>
          </cell>
          <cell r="D43">
            <v>2781</v>
          </cell>
          <cell r="E43" t="str">
            <v>Unit</v>
          </cell>
          <cell r="F43">
            <v>321830</v>
          </cell>
          <cell r="G43" t="str">
            <v>Commercial Kitchen</v>
          </cell>
          <cell r="J43" t="str">
            <v>Water Cooled Centrifugal &gt;=600 Tons (min. eff. of 0.55 kW/ton full load and 0.38 kW/ton IPLV)</v>
          </cell>
          <cell r="K43">
            <v>0.56000000000000005</v>
          </cell>
          <cell r="L43">
            <v>0.5</v>
          </cell>
          <cell r="M43">
            <v>0.55000000000000004</v>
          </cell>
          <cell r="N43">
            <v>0.38</v>
          </cell>
          <cell r="O43">
            <v>600</v>
          </cell>
          <cell r="P43">
            <v>999999</v>
          </cell>
          <cell r="AC43">
            <v>305325</v>
          </cell>
          <cell r="AD43" t="str">
            <v>305325-Cooking-Hot Food Holding Cabinent Replacing No Existing Equipment or Failed Equipment</v>
          </cell>
        </row>
        <row r="44">
          <cell r="B44" t="str">
            <v>Commercial steam cooker - ENERGY STAR®</v>
          </cell>
          <cell r="C44">
            <v>3400</v>
          </cell>
          <cell r="D44">
            <v>3188</v>
          </cell>
          <cell r="E44" t="str">
            <v>Unit</v>
          </cell>
          <cell r="F44">
            <v>321930</v>
          </cell>
          <cell r="G44" t="str">
            <v>Commercial Kitchen</v>
          </cell>
          <cell r="AC44">
            <v>305330</v>
          </cell>
          <cell r="AD44" t="str">
            <v>305330-Cooking-Hot Food Holding Cabinent Replacing Existing Equipment</v>
          </cell>
        </row>
        <row r="45">
          <cell r="B45" t="str">
            <v xml:space="preserve">Low-Flow Sink Aerators - 1.5 GPM or Less - Only Electric Hot Water </v>
          </cell>
          <cell r="C45">
            <v>13</v>
          </cell>
          <cell r="D45">
            <v>12</v>
          </cell>
          <cell r="E45" t="str">
            <v>Aerator</v>
          </cell>
          <cell r="F45">
            <v>525025</v>
          </cell>
          <cell r="G45" t="str">
            <v>Water Fixture</v>
          </cell>
          <cell r="AC45"/>
          <cell r="AD45"/>
        </row>
        <row r="46">
          <cell r="B46" t="str">
            <v xml:space="preserve">Pre-Rinse Spray Valves - 1.28 GPM or Less - Only Electric Hot Water </v>
          </cell>
          <cell r="C46">
            <v>52</v>
          </cell>
          <cell r="D46">
            <v>49</v>
          </cell>
          <cell r="E46" t="str">
            <v>Spray Valve</v>
          </cell>
          <cell r="F46">
            <v>525325</v>
          </cell>
          <cell r="G46" t="str">
            <v>Water Fixture</v>
          </cell>
          <cell r="AC46">
            <v>407025</v>
          </cell>
          <cell r="AD46" t="str">
            <v>407025-Refrigeration-ECM Motor for Refrigeration Replacing No Existing Equipment or Failed Equipment</v>
          </cell>
        </row>
        <row r="47">
          <cell r="B47" t="str">
            <v xml:space="preserve">Low-Flow Showerhead - 1.75 GPM or Less - Only Electric Hot Water </v>
          </cell>
          <cell r="C47">
            <v>5</v>
          </cell>
          <cell r="D47">
            <v>4</v>
          </cell>
          <cell r="E47" t="str">
            <v>Showerhead</v>
          </cell>
          <cell r="F47">
            <v>525225</v>
          </cell>
          <cell r="G47" t="str">
            <v>Water Fixture</v>
          </cell>
          <cell r="AC47">
            <v>407025</v>
          </cell>
          <cell r="AD47" t="str">
            <v>407025-Refrigeration-ECM Motor for Refrigeration Replacing No Existing Equipment or Failed Equipment</v>
          </cell>
        </row>
        <row r="48">
          <cell r="B48"/>
          <cell r="C48"/>
          <cell r="D48"/>
          <cell r="E48"/>
          <cell r="F48"/>
          <cell r="G48"/>
          <cell r="J48" t="str">
            <v>SELECT AC MEASURE FROM DROPDOWN</v>
          </cell>
          <cell r="AC48">
            <v>407125</v>
          </cell>
          <cell r="AD48" t="str">
            <v>407125-Refrigeration-Commercial Freezer Replacing No Existing Equipment or Failed Equipment</v>
          </cell>
        </row>
        <row r="49">
          <cell r="B49"/>
          <cell r="C49"/>
          <cell r="D49"/>
          <cell r="E49"/>
          <cell r="F49"/>
          <cell r="G49"/>
          <cell r="J49" t="str">
            <v>A/C Unit (&lt; 5.42 Tons) - Min. efficiency of 12.3 EER/14.5 SEER2</v>
          </cell>
          <cell r="AC49">
            <v>407130</v>
          </cell>
          <cell r="AD49" t="str">
            <v>407130-Refrigeration-Commercial Freezer Replacing Existing Equipment</v>
          </cell>
        </row>
        <row r="50">
          <cell r="B50" t="str">
            <v>Advanced Power Strip</v>
          </cell>
          <cell r="C50">
            <v>16</v>
          </cell>
          <cell r="D50">
            <v>15</v>
          </cell>
          <cell r="E50" t="str">
            <v>Strip</v>
          </cell>
          <cell r="F50">
            <v>525625</v>
          </cell>
          <cell r="G50" t="str">
            <v>Miscellaneous</v>
          </cell>
          <cell r="J50" t="str">
            <v>A/C Unit (5.42 - 11.24 Tons) - Min. efficiency 12.2 EER/14.8 SEER</v>
          </cell>
          <cell r="AC50">
            <v>407225</v>
          </cell>
          <cell r="AD50" t="str">
            <v>407225-Refrigeration-Commercial Refrigerator Replacing No Existing Equipment or Failed Equipment</v>
          </cell>
        </row>
        <row r="51">
          <cell r="B51" t="str">
            <v>PC Power Management</v>
          </cell>
          <cell r="C51">
            <v>32</v>
          </cell>
          <cell r="D51">
            <v>30</v>
          </cell>
          <cell r="E51" t="str">
            <v>PC</v>
          </cell>
          <cell r="F51">
            <v>935730</v>
          </cell>
          <cell r="G51" t="str">
            <v>Miscellaneous</v>
          </cell>
          <cell r="J51" t="str">
            <v>A/C Unit (11.25 - 19.9 Tons) - Min. efficiency 12.2 EER/14.8 SEER</v>
          </cell>
          <cell r="AC51">
            <v>407230</v>
          </cell>
          <cell r="AD51" t="str">
            <v>407230-Refrigeration-Commercial Refrigerator Replacing Existing Equipment</v>
          </cell>
        </row>
        <row r="52">
          <cell r="J52" t="str">
            <v>A/C Unit (&gt;= 20 Tons) - Min. efficiency 10.8 EER/13.5 SEER</v>
          </cell>
          <cell r="AC52">
            <v>407425</v>
          </cell>
          <cell r="AD52" t="str">
            <v>407425-Refrigeration-Freezer Insulation Replacing No Existing Equipment or Failed Equipment</v>
          </cell>
        </row>
        <row r="53">
          <cell r="AC53">
            <v>407430</v>
          </cell>
          <cell r="AD53" t="str">
            <v>407430-Refrigeration-Freezer Insulation Replacing Existing Equipment</v>
          </cell>
        </row>
        <row r="54">
          <cell r="B54" t="str">
            <v>Pre-Retrofit</v>
          </cell>
          <cell r="AC54">
            <v>407525</v>
          </cell>
          <cell r="AD54" t="str">
            <v>407525-Refrigeration-Refrigeration Insulation Replacing No Existing Equipment or Failed Equipment</v>
          </cell>
        </row>
        <row r="55">
          <cell r="B55" t="str">
            <v>Post-Retrofit</v>
          </cell>
          <cell r="J55" t="str">
            <v>SELECT HP MEASURE FROM DROPDOWN</v>
          </cell>
          <cell r="AC55">
            <v>407530</v>
          </cell>
          <cell r="AD55" t="str">
            <v>407530-Refrigeration-Refrigeration Insulation Replacing Existing Equipment</v>
          </cell>
        </row>
        <row r="56">
          <cell r="J56" t="str">
            <v>Heat Pump (&lt; 5.42 Tons) - Min. efficiency 12.3 EER/14.5 SEER2/8.0 HSPF2</v>
          </cell>
          <cell r="AC56">
            <v>407625</v>
          </cell>
          <cell r="AD56" t="str">
            <v>407625-Refrigeration-Controls Replacing No Existing Equipment or Failed Equipment</v>
          </cell>
        </row>
        <row r="57">
          <cell r="J57" t="str">
            <v>Heat Pump (5.42 - 11.24 Tons) - Min. efficiency 11.3 EER/14.5 SEER/12.0 HSPF</v>
          </cell>
          <cell r="AC57">
            <v>407630</v>
          </cell>
          <cell r="AD57" t="str">
            <v>407630-Refrigeration-Controls Replacing Existing Equipment</v>
          </cell>
        </row>
        <row r="58">
          <cell r="B58" t="str">
            <v>A/C with Gas Heat</v>
          </cell>
          <cell r="J58" t="str">
            <v>Heat Pump (11.25 - 19.9 Tons) - Min. efficiency 10.9 EER/14.0 SEER/12.0 HSPF</v>
          </cell>
          <cell r="AC58">
            <v>424830</v>
          </cell>
          <cell r="AD58" t="str">
            <v>424830-Refrigeration-Door Gaskets - Coolers (Refrigeration)</v>
          </cell>
        </row>
        <row r="59">
          <cell r="B59" t="str">
            <v>A/C with Electric Resistance Heat</v>
          </cell>
          <cell r="J59" t="str">
            <v>Heat Pump (&gt;= 20 Tons) - Min. efficiency 10.3 EER/13.0 SEER/12.0 HSPF</v>
          </cell>
          <cell r="AC59">
            <v>424830</v>
          </cell>
          <cell r="AD59" t="str">
            <v>424830-Refrigeration-Door Gaskets - Coolers (Refrigeration)</v>
          </cell>
        </row>
        <row r="60">
          <cell r="B60" t="str">
            <v>A/C with Heat Pump</v>
          </cell>
          <cell r="AC60">
            <v>424930</v>
          </cell>
          <cell r="AD60" t="str">
            <v>424930-Refrigeration-Door Gaskets - Freezers (Refrigeration)</v>
          </cell>
        </row>
        <row r="61">
          <cell r="B61" t="str">
            <v>A/C with No/Unknown Heat</v>
          </cell>
          <cell r="AC61">
            <v>424930</v>
          </cell>
          <cell r="AD61" t="str">
            <v>424930-Refrigeration-Door Gaskets - Freezers (Refrigeration)</v>
          </cell>
        </row>
        <row r="62">
          <cell r="B62" t="str">
            <v>Refrigerated Space - Med. Temp (33-41°F)</v>
          </cell>
          <cell r="AC62">
            <v>425030</v>
          </cell>
          <cell r="AD62" t="str">
            <v>425030-Refrigeration-Auto Door-Closers - Coolers (Refrigeration)</v>
          </cell>
        </row>
        <row r="63">
          <cell r="B63" t="str">
            <v>Refrigerated Space - Low Temp (-10-10°F)</v>
          </cell>
          <cell r="AC63">
            <v>425030</v>
          </cell>
          <cell r="AD63" t="str">
            <v>425030-Refrigeration-Auto Door-Closers - Coolers (Refrigeration)</v>
          </cell>
        </row>
        <row r="64">
          <cell r="B64" t="str">
            <v>Unconditioned</v>
          </cell>
          <cell r="AC64">
            <v>425130</v>
          </cell>
          <cell r="AD64" t="str">
            <v>425130-Refrigeration-Auto Door-Closers - Freezers (Refrigeration)</v>
          </cell>
        </row>
        <row r="65">
          <cell r="AC65">
            <v>425130</v>
          </cell>
          <cell r="AD65" t="str">
            <v>425130-Refrigeration-Auto Door-Closers - Freezers (Refrigeration)</v>
          </cell>
        </row>
        <row r="66">
          <cell r="AC66"/>
          <cell r="AD66"/>
        </row>
        <row r="67">
          <cell r="AC67"/>
          <cell r="AD67"/>
        </row>
        <row r="68">
          <cell r="AC68">
            <v>505425</v>
          </cell>
          <cell r="AD68" t="str">
            <v>505425-Water Heating-Heat Pump Pool Heater Replacing No Existing Equipment or Failed Equipment</v>
          </cell>
        </row>
        <row r="69">
          <cell r="AC69">
            <v>505430</v>
          </cell>
          <cell r="AD69" t="str">
            <v>505430-Water Heating-Heat Pump Pool Heater Replacing Existing Equipment</v>
          </cell>
        </row>
        <row r="70">
          <cell r="AC70">
            <v>505525</v>
          </cell>
          <cell r="AD70" t="str">
            <v>505525-Water Heating-Heat Pump Water Heater Replacing No Existing Equipment or Failed Equipment</v>
          </cell>
        </row>
        <row r="71">
          <cell r="AC71">
            <v>505530</v>
          </cell>
          <cell r="AD71" t="str">
            <v>505530-Water Heating-Heat Pump Water Heater Replacing Existing Equipment</v>
          </cell>
        </row>
        <row r="72">
          <cell r="AC72">
            <v>606225</v>
          </cell>
          <cell r="AD72" t="str">
            <v>606225-Motors-Efficient Motor Replacing No Existing Equipment or Failed Equipment</v>
          </cell>
        </row>
        <row r="73">
          <cell r="AC73">
            <v>606230</v>
          </cell>
          <cell r="AD73" t="str">
            <v>606230-Motors-Efficient Motor Replacing Existing Equipment</v>
          </cell>
        </row>
        <row r="74">
          <cell r="AC74">
            <v>606325</v>
          </cell>
          <cell r="AD74" t="str">
            <v>606325-Motors-Efficient Pumps Replacing No Existing Equipment or Failed Equipment</v>
          </cell>
        </row>
        <row r="75">
          <cell r="AC75">
            <v>606330</v>
          </cell>
          <cell r="AD75" t="str">
            <v>606330-Motors-Efficient Pumps Replacing Existing Equipment</v>
          </cell>
        </row>
        <row r="76">
          <cell r="AC76">
            <v>606415</v>
          </cell>
          <cell r="AD76" t="str">
            <v>606415-Motors-Grain Bin Aeration Controls</v>
          </cell>
        </row>
        <row r="77">
          <cell r="AC77">
            <v>606525</v>
          </cell>
          <cell r="AD77" t="str">
            <v>606525-Motors-VFD for Pump Replacing No Existing Equipment or Failed Equipment</v>
          </cell>
        </row>
        <row r="78">
          <cell r="AC78">
            <v>606730</v>
          </cell>
          <cell r="AD78" t="str">
            <v>606730-Motors-Low Pressure Irrigation</v>
          </cell>
        </row>
        <row r="79">
          <cell r="AC79">
            <v>606825</v>
          </cell>
          <cell r="AD79" t="str">
            <v>606825-Motors-VFD for Process Motor Replacing No Existing Equipment or Failed Equipment</v>
          </cell>
        </row>
        <row r="80">
          <cell r="AC80">
            <v>606830</v>
          </cell>
          <cell r="AD80" t="str">
            <v>606830-Motors-Potato/Onion Shed Variable Frequency Drive Ventilation Fan</v>
          </cell>
        </row>
        <row r="81">
          <cell r="AC81">
            <v>606930</v>
          </cell>
          <cell r="AD81" t="str">
            <v>606930-Motors-Temperature Based On/Off Livestock Ventilation Controller</v>
          </cell>
        </row>
        <row r="82">
          <cell r="AC82"/>
          <cell r="AD82"/>
        </row>
        <row r="83">
          <cell r="AC83">
            <v>705625</v>
          </cell>
          <cell r="AD83" t="str">
            <v>705625-Compressed Air-Efficient Air Compressor Replacing No Existing Equipment or Failed Equipment</v>
          </cell>
        </row>
        <row r="84">
          <cell r="AC84">
            <v>705630</v>
          </cell>
          <cell r="AD84" t="str">
            <v>705630-Compressed Air-Efficient Air Compressor Replacing Existing Equipment</v>
          </cell>
        </row>
        <row r="85">
          <cell r="AC85">
            <v>705725</v>
          </cell>
          <cell r="AD85" t="str">
            <v>705725-Compressed Air-Compressed Air Optimization Replacing No Existing Equipment or Failed Equipment</v>
          </cell>
        </row>
        <row r="86">
          <cell r="AC86">
            <v>705730</v>
          </cell>
          <cell r="AD86" t="str">
            <v>705730-Compressed Air-Compressed Air Optimization Replacing Existing Equipment</v>
          </cell>
        </row>
        <row r="87">
          <cell r="AC87">
            <v>705825</v>
          </cell>
          <cell r="AD87" t="str">
            <v>705825-Compressed Air-VFD for Air Compressor Replacing No Existing Equipment or Failed Equipment</v>
          </cell>
        </row>
        <row r="88">
          <cell r="AC88">
            <v>705825</v>
          </cell>
          <cell r="AD88" t="str">
            <v>705825-Compressed Air-VFD for Air Compressor Replacing No Existing Equipment or Failed Equipment</v>
          </cell>
        </row>
        <row r="89">
          <cell r="AC89">
            <v>705830</v>
          </cell>
          <cell r="AD89" t="str">
            <v>705830-Compressed Air-VFD for Air Compressor Replacing Existing Equipment</v>
          </cell>
        </row>
        <row r="90">
          <cell r="AC90">
            <v>706125</v>
          </cell>
          <cell r="AD90" t="str">
            <v>706125-Compressed Air-Compressed Air Engineered Nozzle Replacing No Existing Equipment or Failed Equipment</v>
          </cell>
        </row>
        <row r="91">
          <cell r="AC91">
            <v>706130</v>
          </cell>
          <cell r="AD91" t="str">
            <v>706130-Compressed Air-Compressed Air Engineered Nozzle Replacing Existing Equipment</v>
          </cell>
        </row>
        <row r="92">
          <cell r="AC92">
            <v>804225</v>
          </cell>
          <cell r="AD92" t="str">
            <v>804225-Building Shell-Efficient Wall Insulation Replacing No Existing Equipment or Failed Equipment</v>
          </cell>
        </row>
        <row r="93">
          <cell r="AC93">
            <v>804230</v>
          </cell>
          <cell r="AD93" t="str">
            <v>804230-Building Shell-Efficient Wall Insulation Replacing Existing Insulation</v>
          </cell>
        </row>
        <row r="94">
          <cell r="AC94">
            <v>804325</v>
          </cell>
          <cell r="AD94" t="str">
            <v>804325-Building Shell-Efficient Window Film Replacing No Existing Window Film or Failed Window Film</v>
          </cell>
        </row>
        <row r="95">
          <cell r="AC95">
            <v>804425</v>
          </cell>
          <cell r="AD95" t="str">
            <v>804425-Building Shell-Efficient Window Replacing No Existing Window or Failed Window</v>
          </cell>
        </row>
        <row r="96">
          <cell r="AC96">
            <v>804430</v>
          </cell>
          <cell r="AD96" t="str">
            <v>804430-Building Shell-Efficient Window Replacing Existing Window</v>
          </cell>
        </row>
        <row r="97">
          <cell r="AC97">
            <v>906630</v>
          </cell>
          <cell r="AD97" t="str">
            <v>906630-Miscellaneous-ENERGY STAR Dehumidifier for Indoor Agriculture</v>
          </cell>
        </row>
        <row r="98">
          <cell r="AC98">
            <v>907430</v>
          </cell>
          <cell r="AD98" t="str">
            <v>907430-Miscellaneous-Efficient Custom Agriculture Equipment Replacing Existing Equipment</v>
          </cell>
        </row>
        <row r="99">
          <cell r="AC99">
            <v>915925</v>
          </cell>
          <cell r="AD99" t="str">
            <v>915925-Process-Optimizing Process Cooling Replacing No Existing Equipment or Failed Equipment</v>
          </cell>
        </row>
        <row r="100">
          <cell r="AC100">
            <v>915930</v>
          </cell>
          <cell r="AD100" t="str">
            <v>915930-Process-Optimizing Process Cooling Replacing Existing Equipment</v>
          </cell>
        </row>
        <row r="101">
          <cell r="AC101">
            <v>916025</v>
          </cell>
          <cell r="AD101" t="str">
            <v>916025-Process-Optimizing Process Heating Replacing No Existing Equipment or Failed Equipment</v>
          </cell>
        </row>
        <row r="102">
          <cell r="AC102">
            <v>916030</v>
          </cell>
          <cell r="AD102" t="str">
            <v>916030-Process-Optimizing Process Heating Replacing Existing Equipment</v>
          </cell>
        </row>
        <row r="103">
          <cell r="AC103"/>
          <cell r="AD103"/>
        </row>
        <row r="104">
          <cell r="AC104"/>
          <cell r="AD104"/>
        </row>
        <row r="105">
          <cell r="AC105"/>
          <cell r="AD105"/>
        </row>
        <row r="106">
          <cell r="AC106" t="str">
            <v>804530</v>
          </cell>
          <cell r="AD106" t="str">
            <v>Cool Roof</v>
          </cell>
        </row>
        <row r="107">
          <cell r="AC107" t="str">
            <v>804630</v>
          </cell>
          <cell r="AD107" t="str">
            <v>Roof or Ceiling Insulation</v>
          </cell>
        </row>
        <row r="108">
          <cell r="AC108" t="str">
            <v>804730</v>
          </cell>
          <cell r="AD108" t="str">
            <v>Building Envelope Custom Measure - Other</v>
          </cell>
        </row>
        <row r="109">
          <cell r="AC109" t="str">
            <v>204230</v>
          </cell>
          <cell r="AD109" t="str">
            <v>Air Handler Coil Cleaning</v>
          </cell>
        </row>
        <row r="110">
          <cell r="AC110" t="str">
            <v>204330</v>
          </cell>
          <cell r="AD110" t="str">
            <v>Chiller Plant Optimization</v>
          </cell>
        </row>
        <row r="111">
          <cell r="AC111" t="str">
            <v>204430</v>
          </cell>
          <cell r="AD111" t="str">
            <v>HVAC Custom Measure - Other</v>
          </cell>
        </row>
      </sheetData>
      <sheetData sheetId="12">
        <row r="2">
          <cell r="H2" t="str">
            <v>ECM Fan (Refr.) Savings</v>
          </cell>
          <cell r="I2" t="str">
            <v>kWh</v>
          </cell>
          <cell r="J2" t="str">
            <v>kW</v>
          </cell>
          <cell r="N2" t="str">
            <v>Concat Name</v>
          </cell>
          <cell r="O2" t="str">
            <v>Measure Name</v>
          </cell>
          <cell r="P2" t="str">
            <v>Water Temp</v>
          </cell>
          <cell r="Q2" t="str">
            <v>Heater/Booster Fuel</v>
          </cell>
          <cell r="R2" t="str">
            <v>kWh</v>
          </cell>
          <cell r="S2" t="str">
            <v>kW</v>
          </cell>
          <cell r="U2" t="str">
            <v>Aerator Savings (Building Type)</v>
          </cell>
          <cell r="V2" t="str">
            <v>kWh</v>
          </cell>
          <cell r="W2" t="str">
            <v>kW</v>
          </cell>
        </row>
        <row r="3">
          <cell r="H3" t="str">
            <v>Freezer (low temp.)</v>
          </cell>
          <cell r="I3">
            <v>903.25033846153838</v>
          </cell>
          <cell r="J3">
            <v>0.10311076923076924</v>
          </cell>
          <cell r="N3" t="str">
            <v>Commercial dishwasher - ENERGY STAR® - Under counterHigh TempElectric/Electric</v>
          </cell>
          <cell r="O3" t="str">
            <v>Commercial dishwasher - ENERGY STAR® - Under counter</v>
          </cell>
          <cell r="P3" t="str">
            <v>High Temp</v>
          </cell>
          <cell r="Q3" t="str">
            <v>Electric/Electric</v>
          </cell>
          <cell r="R3">
            <v>3198</v>
          </cell>
          <cell r="S3">
            <v>0.4</v>
          </cell>
          <cell r="U3" t="str">
            <v>Prison</v>
          </cell>
          <cell r="V3">
            <v>1920.6022249626349</v>
          </cell>
          <cell r="W3">
            <v>0.21047695616028878</v>
          </cell>
        </row>
        <row r="4">
          <cell r="H4" t="str">
            <v>Cooler (medium-temp.)</v>
          </cell>
          <cell r="I4">
            <v>760.36799999999994</v>
          </cell>
          <cell r="J4">
            <v>8.6800000000000002E-2</v>
          </cell>
          <cell r="N4" t="str">
            <v>Commercial dishwasher - ENERGY STAR® - Under counterHigh TempGas/Electric</v>
          </cell>
          <cell r="O4" t="str">
            <v>Commercial dishwasher - ENERGY STAR® - Under counter</v>
          </cell>
          <cell r="P4" t="str">
            <v>High Temp</v>
          </cell>
          <cell r="Q4" t="str">
            <v>Gas/Electric</v>
          </cell>
          <cell r="R4">
            <v>2099</v>
          </cell>
          <cell r="S4">
            <v>0.3</v>
          </cell>
          <cell r="U4" t="str">
            <v>Hospital, Nursing Home</v>
          </cell>
          <cell r="V4">
            <v>192.06022249626355</v>
          </cell>
          <cell r="W4">
            <v>1.5785771712021657E-2</v>
          </cell>
        </row>
        <row r="5">
          <cell r="N5" t="str">
            <v>Commercial dishwasher - ENERGY STAR® - Under counterHigh TempGas/Gas</v>
          </cell>
          <cell r="O5" t="str">
            <v>Commercial dishwasher - ENERGY STAR® - Under counter</v>
          </cell>
          <cell r="P5" t="str">
            <v>High Temp</v>
          </cell>
          <cell r="Q5" t="str">
            <v>Gas/Gas</v>
          </cell>
          <cell r="R5">
            <v>1471</v>
          </cell>
          <cell r="S5">
            <v>0.2</v>
          </cell>
          <cell r="U5" t="str">
            <v>Dormitory</v>
          </cell>
          <cell r="V5">
            <v>1441.7671496979781</v>
          </cell>
          <cell r="W5">
            <v>0.21047695616028878</v>
          </cell>
        </row>
        <row r="6">
          <cell r="H6" t="str">
            <v>Evap. Fan Controller Savings</v>
          </cell>
          <cell r="I6" t="str">
            <v>kWh</v>
          </cell>
          <cell r="J6" t="str">
            <v>kW</v>
          </cell>
          <cell r="N6" t="str">
            <v>Commercial dishwasher - ENERGY STAR® - Under counterLow TempElectric/No Booster</v>
          </cell>
          <cell r="O6" t="str">
            <v>Commercial dishwasher - ENERGY STAR® - Under counter</v>
          </cell>
          <cell r="P6" t="str">
            <v>Low Temp</v>
          </cell>
          <cell r="Q6" t="str">
            <v>Electric/No Booster</v>
          </cell>
          <cell r="R6">
            <v>2580</v>
          </cell>
          <cell r="S6">
            <v>0.3</v>
          </cell>
          <cell r="U6" t="str">
            <v>Multifamily</v>
          </cell>
          <cell r="V6">
            <v>192.06022249626355</v>
          </cell>
          <cell r="W6">
            <v>1.5785771712021657E-2</v>
          </cell>
          <cell r="AE6" t="str">
            <v>APS Savings (Program)</v>
          </cell>
          <cell r="AF6" t="str">
            <v>Application</v>
          </cell>
          <cell r="AG6" t="str">
            <v>kWh</v>
          </cell>
          <cell r="AH6" t="str">
            <v>kW</v>
          </cell>
        </row>
        <row r="7">
          <cell r="H7" t="str">
            <v>Freezer (low temp.)</v>
          </cell>
          <cell r="I7">
            <v>543.47039999999993</v>
          </cell>
          <cell r="J7">
            <v>6.2039999999999991E-2</v>
          </cell>
          <cell r="N7" t="str">
            <v>Commercial dishwasher - ENERGY STAR® - Under counterLow TempGas/No Booster</v>
          </cell>
          <cell r="O7" t="str">
            <v>Commercial dishwasher - ENERGY STAR® - Under counter</v>
          </cell>
          <cell r="P7" t="str">
            <v>Low Temp</v>
          </cell>
          <cell r="Q7" t="str">
            <v>Gas/No Booster</v>
          </cell>
          <cell r="R7">
            <v>0</v>
          </cell>
          <cell r="S7">
            <v>0</v>
          </cell>
          <cell r="U7" t="str">
            <v>Lodging</v>
          </cell>
          <cell r="V7">
            <v>192.06022249626355</v>
          </cell>
          <cell r="W7">
            <v>1.0523847808014438E-2</v>
          </cell>
          <cell r="AE7" t="str">
            <v>Large Commercial &amp; Industrial Solutions</v>
          </cell>
          <cell r="AF7" t="str">
            <v>Office</v>
          </cell>
          <cell r="AG7">
            <v>71.400000000000006</v>
          </cell>
          <cell r="AH7">
            <v>0</v>
          </cell>
        </row>
        <row r="8">
          <cell r="H8" t="str">
            <v>Cooler (medium-temp.)</v>
          </cell>
          <cell r="I8">
            <v>501.072</v>
          </cell>
          <cell r="J8">
            <v>5.7200000000000001E-2</v>
          </cell>
          <cell r="N8" t="str">
            <v>Commercial dishwasher - ENERGY STAR® - Stationary Single Tank DoorHigh TempElectric/Electric</v>
          </cell>
          <cell r="O8" t="str">
            <v>Commercial dishwasher - ENERGY STAR® - Stationary Single Tank Door</v>
          </cell>
          <cell r="P8" t="str">
            <v>High Temp</v>
          </cell>
          <cell r="Q8" t="str">
            <v>Electric/Electric</v>
          </cell>
          <cell r="R8">
            <v>12040</v>
          </cell>
          <cell r="S8">
            <v>1.5</v>
          </cell>
          <cell r="U8" t="str">
            <v>Commercial</v>
          </cell>
          <cell r="V8">
            <v>1315.4809760018047</v>
          </cell>
          <cell r="W8">
            <v>0.42095391232057755</v>
          </cell>
          <cell r="AE8" t="str">
            <v>Small Commercial Solutions</v>
          </cell>
          <cell r="AF8" t="str">
            <v>Small Business</v>
          </cell>
          <cell r="AG8">
            <v>61.2</v>
          </cell>
          <cell r="AH8">
            <v>0</v>
          </cell>
        </row>
        <row r="9">
          <cell r="H9" t="str">
            <v>Cooler (high-temp.)</v>
          </cell>
          <cell r="I9">
            <v>462.52799999999996</v>
          </cell>
          <cell r="J9">
            <v>5.2799999999999993E-2</v>
          </cell>
          <cell r="N9" t="str">
            <v>Commercial dishwasher - ENERGY STAR® - Stationary Single Tank DoorHigh TempGas/Electric</v>
          </cell>
          <cell r="O9" t="str">
            <v>Commercial dishwasher - ENERGY STAR® - Stationary Single Tank Door</v>
          </cell>
          <cell r="P9" t="str">
            <v>High Temp</v>
          </cell>
          <cell r="Q9" t="str">
            <v>Gas/Electric</v>
          </cell>
          <cell r="R9">
            <v>4905</v>
          </cell>
          <cell r="S9">
            <v>0.6</v>
          </cell>
          <cell r="U9" t="str">
            <v>School</v>
          </cell>
          <cell r="V9">
            <v>1052.3847808014436</v>
          </cell>
          <cell r="W9">
            <v>0.26309619520036093</v>
          </cell>
        </row>
        <row r="10">
          <cell r="N10" t="str">
            <v>Commercial dishwasher - ENERGY STAR® - Stationary Single Tank DoorHigh TempGas/Gas</v>
          </cell>
          <cell r="O10" t="str">
            <v>Commercial dishwasher - ENERGY STAR® - Stationary Single Tank Door</v>
          </cell>
          <cell r="P10" t="str">
            <v>High Temp</v>
          </cell>
          <cell r="Q10" t="str">
            <v>Gas/Gas</v>
          </cell>
          <cell r="R10">
            <v>827</v>
          </cell>
          <cell r="S10">
            <v>0.1</v>
          </cell>
          <cell r="U10" t="str">
            <v>Other</v>
          </cell>
          <cell r="V10">
            <v>1008.4853013737264</v>
          </cell>
          <cell r="W10">
            <v>0.13391059404687758</v>
          </cell>
          <cell r="AE10" t="str">
            <v>PC Power Management (Controlled Device)</v>
          </cell>
          <cell r="AF10" t="str">
            <v>kWh</v>
          </cell>
          <cell r="AG10" t="str">
            <v>kW</v>
          </cell>
        </row>
        <row r="11">
          <cell r="H11" t="str">
            <v>ASHC Savings</v>
          </cell>
          <cell r="I11" t="str">
            <v>kWh/lf</v>
          </cell>
          <cell r="J11" t="str">
            <v>kW/lf</v>
          </cell>
          <cell r="N11" t="str">
            <v>Commercial dishwasher - ENERGY STAR® - Stationary Single Tank DoorLow TempElectric/No Booster</v>
          </cell>
          <cell r="O11" t="str">
            <v>Commercial dishwasher - ENERGY STAR® - Stationary Single Tank Door</v>
          </cell>
          <cell r="P11" t="str">
            <v>Low Temp</v>
          </cell>
          <cell r="Q11" t="str">
            <v>Electric/No Booster</v>
          </cell>
          <cell r="R11">
            <v>16411</v>
          </cell>
          <cell r="S11">
            <v>2.1</v>
          </cell>
          <cell r="AE11" t="str">
            <v>LCD Monitor</v>
          </cell>
          <cell r="AF11">
            <v>158.72</v>
          </cell>
          <cell r="AG11">
            <v>8.0000000000000002E-3</v>
          </cell>
        </row>
        <row r="12">
          <cell r="H12" t="str">
            <v>Freezer (low temp.)</v>
          </cell>
          <cell r="I12">
            <v>259</v>
          </cell>
          <cell r="J12">
            <v>6.0000000000000001E-3</v>
          </cell>
          <cell r="N12" t="str">
            <v>Commercial dishwasher - ENERGY STAR® - Stationary Single Tank DoorLow TempGas/No Booster</v>
          </cell>
          <cell r="O12" t="str">
            <v>Commercial dishwasher - ENERGY STAR® - Stationary Single Tank Door</v>
          </cell>
          <cell r="P12" t="str">
            <v>Low Temp</v>
          </cell>
          <cell r="Q12" t="str">
            <v>Gas/No Booster</v>
          </cell>
          <cell r="R12">
            <v>0</v>
          </cell>
          <cell r="S12">
            <v>0</v>
          </cell>
          <cell r="AE12" t="str">
            <v>Desktop Computer</v>
          </cell>
          <cell r="AF12">
            <v>337.92</v>
          </cell>
          <cell r="AG12">
            <v>1.7000000000000001E-2</v>
          </cell>
        </row>
        <row r="13">
          <cell r="H13" t="str">
            <v>Cooler (medium-temp.)</v>
          </cell>
          <cell r="I13">
            <v>248</v>
          </cell>
          <cell r="J13">
            <v>4.5999999999999999E-3</v>
          </cell>
          <cell r="N13" t="str">
            <v>Commercial dishwasher - ENERGY STAR® - Pots, pans and utensilsHigh TempElectric/Electric</v>
          </cell>
          <cell r="O13" t="str">
            <v>Commercial dishwasher - ENERGY STAR® - Pots, pans and utensils</v>
          </cell>
          <cell r="P13" t="str">
            <v>High Temp</v>
          </cell>
          <cell r="Q13" t="str">
            <v>Electric/Electric</v>
          </cell>
          <cell r="R13">
            <v>3364</v>
          </cell>
          <cell r="S13">
            <v>0.4</v>
          </cell>
          <cell r="AE13" t="str">
            <v>Notebook (including display)</v>
          </cell>
          <cell r="AF13">
            <v>97.28</v>
          </cell>
          <cell r="AG13">
            <v>5.0000000000000001E-3</v>
          </cell>
        </row>
        <row r="14">
          <cell r="H14" t="str">
            <v>Unknown</v>
          </cell>
          <cell r="I14">
            <v>253.5</v>
          </cell>
          <cell r="J14">
            <v>5.3E-3</v>
          </cell>
          <cell r="N14" t="str">
            <v>Commercial dishwasher - ENERGY STAR® - Pots, pans and utensilsHigh TempGas/Electric</v>
          </cell>
          <cell r="O14" t="str">
            <v>Commercial dishwasher - ENERGY STAR® - Pots, pans and utensils</v>
          </cell>
          <cell r="P14" t="str">
            <v>High Temp</v>
          </cell>
          <cell r="Q14" t="str">
            <v>Gas/Electric</v>
          </cell>
          <cell r="R14">
            <v>1223</v>
          </cell>
          <cell r="S14">
            <v>0.2</v>
          </cell>
        </row>
        <row r="15">
          <cell r="N15" t="str">
            <v>Commercial dishwasher - ENERGY STAR® - Pots, pans and utensilsHigh TempGas/Gas</v>
          </cell>
          <cell r="O15" t="str">
            <v>Commercial dishwasher - ENERGY STAR® - Pots, pans and utensils</v>
          </cell>
          <cell r="P15" t="str">
            <v>High Temp</v>
          </cell>
          <cell r="Q15" t="str">
            <v>Gas/Gas</v>
          </cell>
          <cell r="R15">
            <v>0</v>
          </cell>
          <cell r="S15">
            <v>0</v>
          </cell>
        </row>
        <row r="16">
          <cell r="H16" t="str">
            <v>Night Cover Savings</v>
          </cell>
          <cell r="I16" t="str">
            <v>kWh/lf</v>
          </cell>
          <cell r="J16" t="str">
            <v>kW/lf</v>
          </cell>
          <cell r="N16" t="str">
            <v>Commercial dishwasher - ENERGY STAR®- Single tank conveyorHigh TempElectric/Electric</v>
          </cell>
          <cell r="O16" t="str">
            <v>Commercial dishwasher - ENERGY STAR®- Single tank conveyor</v>
          </cell>
          <cell r="P16" t="str">
            <v>High Temp</v>
          </cell>
          <cell r="Q16" t="str">
            <v>Electric/Electric</v>
          </cell>
          <cell r="R16">
            <v>9319</v>
          </cell>
          <cell r="S16">
            <v>1.2</v>
          </cell>
        </row>
        <row r="17">
          <cell r="H17" t="str">
            <v>Vertical Open, Remote Condensing , Medium-temp</v>
          </cell>
          <cell r="I17">
            <v>112</v>
          </cell>
          <cell r="J17">
            <v>0</v>
          </cell>
          <cell r="N17" t="str">
            <v>Commercial dishwasher - ENERGY STAR®- Single tank conveyorHigh TempGas/Electric</v>
          </cell>
          <cell r="O17" t="str">
            <v>Commercial dishwasher - ENERGY STAR®- Single tank conveyor</v>
          </cell>
          <cell r="P17" t="str">
            <v>High Temp</v>
          </cell>
          <cell r="Q17" t="str">
            <v>Gas/Electric</v>
          </cell>
          <cell r="R17">
            <v>4987</v>
          </cell>
          <cell r="S17">
            <v>0.6</v>
          </cell>
        </row>
        <row r="18">
          <cell r="H18" t="str">
            <v>Vertical Open, Remote Condensing , Low-temp</v>
          </cell>
          <cell r="I18">
            <v>209</v>
          </cell>
          <cell r="J18">
            <v>0</v>
          </cell>
          <cell r="N18" t="str">
            <v>Commercial dishwasher - ENERGY STAR®- Single tank conveyorHigh TempGas/Gas</v>
          </cell>
          <cell r="O18" t="str">
            <v>Commercial dishwasher - ENERGY STAR®- Single tank conveyor</v>
          </cell>
          <cell r="P18" t="str">
            <v>High Temp</v>
          </cell>
          <cell r="Q18" t="str">
            <v>Gas/Gas</v>
          </cell>
          <cell r="R18">
            <v>2511</v>
          </cell>
          <cell r="S18">
            <v>0.3</v>
          </cell>
        </row>
        <row r="19">
          <cell r="H19" t="str">
            <v>Vertical Open, Self-Contained, Medium-temp</v>
          </cell>
          <cell r="I19">
            <v>182</v>
          </cell>
          <cell r="J19">
            <v>0</v>
          </cell>
          <cell r="N19" t="str">
            <v>Commercial dishwasher - ENERGY STAR®- Single tank conveyorLow TempElectric/No Booster</v>
          </cell>
          <cell r="O19" t="str">
            <v>Commercial dishwasher - ENERGY STAR®- Single tank conveyor</v>
          </cell>
          <cell r="P19" t="str">
            <v>Low Temp</v>
          </cell>
          <cell r="Q19" t="str">
            <v>Electric/No Booster</v>
          </cell>
          <cell r="R19">
            <v>13835</v>
          </cell>
          <cell r="S19">
            <v>1.8</v>
          </cell>
        </row>
        <row r="20">
          <cell r="H20" t="str">
            <v>Semivertical Open, Remote Condensing, Medium-temp</v>
          </cell>
          <cell r="I20">
            <v>83</v>
          </cell>
          <cell r="J20">
            <v>0</v>
          </cell>
          <cell r="N20" t="str">
            <v>Commercial dishwasher - ENERGY STAR®- Single tank conveyorLow TempGas/No Booster</v>
          </cell>
          <cell r="O20" t="str">
            <v>Commercial dishwasher - ENERGY STAR®- Single tank conveyor</v>
          </cell>
          <cell r="P20" t="str">
            <v>Low Temp</v>
          </cell>
          <cell r="Q20" t="str">
            <v>Gas/No Booster</v>
          </cell>
          <cell r="R20">
            <v>0</v>
          </cell>
          <cell r="S20">
            <v>0</v>
          </cell>
        </row>
        <row r="21">
          <cell r="H21" t="str">
            <v>Semivertical Open, Self-Contained, Medium-temp</v>
          </cell>
          <cell r="I21">
            <v>162</v>
          </cell>
          <cell r="J21">
            <v>0</v>
          </cell>
          <cell r="N21" t="str">
            <v>Commercial dishwasher - ENERGY STAR® - Multiple tank conveyorHigh TempElectric/Electric</v>
          </cell>
          <cell r="O21" t="str">
            <v>Commercial dishwasher - ENERGY STAR® - Multiple tank conveyor</v>
          </cell>
          <cell r="P21" t="str">
            <v>High Temp</v>
          </cell>
          <cell r="Q21" t="str">
            <v>Electric/Electric</v>
          </cell>
          <cell r="R21">
            <v>27815</v>
          </cell>
          <cell r="S21">
            <v>3.6</v>
          </cell>
        </row>
        <row r="22">
          <cell r="H22" t="str">
            <v>Horizontal Open, Remote Condensing, Medium-temp</v>
          </cell>
          <cell r="I22">
            <v>42</v>
          </cell>
          <cell r="J22">
            <v>0</v>
          </cell>
          <cell r="N22" t="str">
            <v>Commercial dishwasher - ENERGY STAR® - Multiple tank conveyorHigh TempGas/Electric</v>
          </cell>
          <cell r="O22" t="str">
            <v>Commercial dishwasher - ENERGY STAR® - Multiple tank conveyor</v>
          </cell>
          <cell r="P22" t="str">
            <v>High Temp</v>
          </cell>
          <cell r="Q22" t="str">
            <v>Gas/Electric</v>
          </cell>
          <cell r="R22">
            <v>11378</v>
          </cell>
          <cell r="S22">
            <v>1.5</v>
          </cell>
        </row>
        <row r="23">
          <cell r="B23" t="str">
            <v>ACTU / HPTU Pump Savings</v>
          </cell>
          <cell r="C23" t="str">
            <v>kWh_clg</v>
          </cell>
          <cell r="D23" t="str">
            <v>kWh_htg</v>
          </cell>
          <cell r="E23" t="str">
            <v>kWh_total</v>
          </cell>
          <cell r="F23" t="str">
            <v>kW</v>
          </cell>
          <cell r="H23" t="str">
            <v>Horizontal Open, Remote Condensing, Low-temp</v>
          </cell>
          <cell r="I23">
            <v>94</v>
          </cell>
          <cell r="J23">
            <v>0</v>
          </cell>
          <cell r="N23" t="str">
            <v>Commercial dishwasher - ENERGY STAR® - Multiple tank conveyorHigh TempGas/Gas</v>
          </cell>
          <cell r="O23" t="str">
            <v>Commercial dishwasher - ENERGY STAR® - Multiple tank conveyor</v>
          </cell>
          <cell r="P23" t="str">
            <v>High Temp</v>
          </cell>
          <cell r="Q23" t="str">
            <v>Gas/Gas</v>
          </cell>
          <cell r="R23">
            <v>1986</v>
          </cell>
          <cell r="S23">
            <v>0.3</v>
          </cell>
        </row>
        <row r="24">
          <cell r="B24" t="str">
            <v>HVAC Tune Up - Commercial (A/C)</v>
          </cell>
          <cell r="C24" t="e">
            <v>#N/A</v>
          </cell>
          <cell r="D24"/>
          <cell r="E24" t="e">
            <v>#N/A</v>
          </cell>
          <cell r="F24" t="e">
            <v>#N/A</v>
          </cell>
          <cell r="H24" t="str">
            <v>Horizontal Open, Self-Contained, Medium-temp</v>
          </cell>
          <cell r="I24">
            <v>132</v>
          </cell>
          <cell r="J24">
            <v>0</v>
          </cell>
          <cell r="N24" t="str">
            <v>Commercial dishwasher - ENERGY STAR® - Multiple tank conveyorLow TempElectric/No Booster</v>
          </cell>
          <cell r="O24" t="str">
            <v>Commercial dishwasher - ENERGY STAR® - Multiple tank conveyor</v>
          </cell>
          <cell r="P24" t="str">
            <v>Low Temp</v>
          </cell>
          <cell r="Q24" t="str">
            <v>Electric/No Booster</v>
          </cell>
          <cell r="R24">
            <v>19112</v>
          </cell>
          <cell r="S24">
            <v>2.4</v>
          </cell>
        </row>
        <row r="25">
          <cell r="B25" t="str">
            <v>HVAC Tune Up - Commercial (Heat Pump)</v>
          </cell>
          <cell r="C25" t="e">
            <v>#N/A</v>
          </cell>
          <cell r="D25" t="e">
            <v>#N/A</v>
          </cell>
          <cell r="E25" t="e">
            <v>#N/A</v>
          </cell>
          <cell r="F25" t="e">
            <v>#N/A</v>
          </cell>
          <cell r="H25" t="str">
            <v>Horizontal Open, Self-Contained, Low-temp</v>
          </cell>
          <cell r="I25">
            <v>288</v>
          </cell>
          <cell r="J25">
            <v>0</v>
          </cell>
          <cell r="N25" t="str">
            <v>Commercial dishwasher - ENERGY STAR® - Multiple tank conveyorLow TempGas/No Booster</v>
          </cell>
          <cell r="O25" t="str">
            <v>Commercial dishwasher - ENERGY STAR® - Multiple tank conveyor</v>
          </cell>
          <cell r="P25" t="str">
            <v>Low Temp</v>
          </cell>
          <cell r="Q25" t="str">
            <v>Gas/No Booster</v>
          </cell>
          <cell r="R25">
            <v>0</v>
          </cell>
          <cell r="S25">
            <v>0</v>
          </cell>
        </row>
        <row r="27">
          <cell r="H27" t="str">
            <v>Night Cover Savings (Concat Name)</v>
          </cell>
          <cell r="I27" t="str">
            <v>Type</v>
          </cell>
          <cell r="J27" t="str">
            <v>Size</v>
          </cell>
          <cell r="K27" t="str">
            <v>kWh</v>
          </cell>
          <cell r="L27" t="str">
            <v>kW</v>
          </cell>
        </row>
        <row r="28">
          <cell r="H28" t="str">
            <v>Refrigerator0 - 15 cu. ft.</v>
          </cell>
          <cell r="I28" t="str">
            <v>Refrigerator</v>
          </cell>
          <cell r="J28" t="str">
            <v>0 - 15 cu. ft.</v>
          </cell>
          <cell r="K28">
            <v>290</v>
          </cell>
          <cell r="L28">
            <v>0.03</v>
          </cell>
          <cell r="N28" t="str">
            <v>Convection Oven Savings (Size)</v>
          </cell>
          <cell r="O28" t="str">
            <v>kWh</v>
          </cell>
          <cell r="P28" t="str">
            <v>kW</v>
          </cell>
        </row>
        <row r="29">
          <cell r="H29" t="str">
            <v>Refrigerator15 - 30 cu. ft</v>
          </cell>
          <cell r="I29" t="str">
            <v>Refrigerator</v>
          </cell>
          <cell r="J29" t="str">
            <v>15 - 30 cu. ft</v>
          </cell>
          <cell r="K29">
            <v>631</v>
          </cell>
          <cell r="L29">
            <v>7.0000000000000007E-2</v>
          </cell>
          <cell r="N29" t="str">
            <v>Half-Size</v>
          </cell>
          <cell r="O29">
            <v>2485</v>
          </cell>
          <cell r="P29">
            <v>0.47699999999999998</v>
          </cell>
        </row>
        <row r="30">
          <cell r="B30" t="str">
            <v>Prescriptive Measure</v>
          </cell>
          <cell r="C30" t="str">
            <v>kWh/unit</v>
          </cell>
          <cell r="D30" t="str">
            <v>kW/unit</v>
          </cell>
          <cell r="H30" t="str">
            <v>Refrigerator30 - 50 cu. ft.</v>
          </cell>
          <cell r="I30" t="str">
            <v>Refrigerator</v>
          </cell>
          <cell r="J30" t="str">
            <v>30 - 50 cu. ft.</v>
          </cell>
          <cell r="K30">
            <v>951</v>
          </cell>
          <cell r="L30">
            <v>0.11</v>
          </cell>
          <cell r="N30" t="str">
            <v>Full-Size</v>
          </cell>
          <cell r="O30">
            <v>2787</v>
          </cell>
          <cell r="P30">
            <v>0.53400000000000003</v>
          </cell>
        </row>
        <row r="31">
          <cell r="B31" t="str">
            <v>SELECT CHILLER MEASURE FROM DROPDOWN</v>
          </cell>
          <cell r="C31">
            <v>0</v>
          </cell>
          <cell r="D31">
            <v>0</v>
          </cell>
          <cell r="H31" t="str">
            <v>Refrigerator≥ 50 cu. ft.</v>
          </cell>
          <cell r="I31" t="str">
            <v>Refrigerator</v>
          </cell>
          <cell r="J31" t="str">
            <v>≥ 50 cu. ft.</v>
          </cell>
          <cell r="K31">
            <v>1250</v>
          </cell>
          <cell r="L31">
            <v>0.14000000000000001</v>
          </cell>
        </row>
        <row r="32">
          <cell r="B32" t="str">
            <v>Air Cooled Chiller &lt;150 Tons (min. eff. of 1.18 kW/ton full load and 0.76 kW/ton IPLV)</v>
          </cell>
          <cell r="C32">
            <v>18977.559190051194</v>
          </cell>
          <cell r="D32">
            <v>0.61600000000000055</v>
          </cell>
          <cell r="H32" t="str">
            <v>Freezer0 - 15 cu. ft.</v>
          </cell>
          <cell r="I32" t="str">
            <v>Freezer</v>
          </cell>
          <cell r="J32" t="str">
            <v>0 - 15 cu. ft.</v>
          </cell>
          <cell r="K32">
            <v>869</v>
          </cell>
          <cell r="L32">
            <v>0.1</v>
          </cell>
        </row>
        <row r="33">
          <cell r="B33" t="str">
            <v>Water Cooled Screw/Scroll Chiller &gt;=300 Tons (min. eff. of 0.57 kW/ton full load and 0.41 kW/ton IPLV)</v>
          </cell>
          <cell r="C33">
            <v>66270.841616051781</v>
          </cell>
          <cell r="D33">
            <v>4.6200000000000045</v>
          </cell>
          <cell r="H33" t="str">
            <v>Freezer15 - 30 cu. ft</v>
          </cell>
          <cell r="I33" t="str">
            <v>Freezer</v>
          </cell>
          <cell r="J33" t="str">
            <v>15 - 30 cu. ft</v>
          </cell>
          <cell r="K33">
            <v>869</v>
          </cell>
          <cell r="L33">
            <v>0.1</v>
          </cell>
          <cell r="N33" t="str">
            <v>Combination Oven Savings (Size)</v>
          </cell>
          <cell r="O33" t="str">
            <v>kWh</v>
          </cell>
          <cell r="P33" t="str">
            <v>kW</v>
          </cell>
        </row>
        <row r="34">
          <cell r="B34" t="str">
            <v>Water Cooled Screw/Scroll Chiller &gt;=150 Tons and &lt;300 Tons (min. eff. of 0.65 kW/ton full load and 0.44 kW/ton IPLV)</v>
          </cell>
          <cell r="C34">
            <v>41419.276010032379</v>
          </cell>
          <cell r="D34">
            <v>1.9250000000000018</v>
          </cell>
          <cell r="H34" t="str">
            <v>Freezer30 - 50 cu. ft.</v>
          </cell>
          <cell r="I34" t="str">
            <v>Freezer</v>
          </cell>
          <cell r="J34" t="str">
            <v>30 - 50 cu. ft.</v>
          </cell>
          <cell r="K34">
            <v>2593</v>
          </cell>
          <cell r="L34">
            <v>0.3</v>
          </cell>
          <cell r="N34" t="str">
            <v>Combination commercial oven &lt;15 Pan - ENERGY STAR®</v>
          </cell>
          <cell r="O34">
            <v>14397.5</v>
          </cell>
          <cell r="P34">
            <v>2.7850000000000001</v>
          </cell>
        </row>
        <row r="35">
          <cell r="B35" t="str">
            <v>Water Cooled Screw/Scroll Chiller &gt;= 75 and &lt;150 Tons (min. eff. of 0.71 kW/ton full load and 0.49 kW/ton IPLV)</v>
          </cell>
          <cell r="C35">
            <v>12049.243930191245</v>
          </cell>
          <cell r="D35">
            <v>0.77000000000000068</v>
          </cell>
          <cell r="H35" t="str">
            <v>Freezer≥ 50 cu. ft.</v>
          </cell>
          <cell r="I35" t="str">
            <v>Freezer</v>
          </cell>
          <cell r="J35" t="str">
            <v>≥ 50 cu. ft.</v>
          </cell>
          <cell r="K35">
            <v>4375</v>
          </cell>
          <cell r="L35">
            <v>0.5</v>
          </cell>
          <cell r="N35" t="str">
            <v>Combination commercial oven &gt;=15 Pan - ENERGY STAR®</v>
          </cell>
          <cell r="O35">
            <v>19220</v>
          </cell>
          <cell r="P35">
            <v>3.69</v>
          </cell>
        </row>
        <row r="36">
          <cell r="B36" t="str">
            <v>Water Cooled Screw/Scroll Chiller &lt;75 Tons (min. eff. of 0.74 kW/ton full load and 0.50 kW/ton IPLV)</v>
          </cell>
          <cell r="C36">
            <v>8283.8552020064726</v>
          </cell>
          <cell r="D36">
            <v>0.38500000000000034</v>
          </cell>
        </row>
        <row r="37">
          <cell r="B37" t="str">
            <v>Water Cooled Centrifugal &gt;=600 Tons (min. eff. of 0.55 kW/ton full load and 0.38 kW/ton IPLV)</v>
          </cell>
          <cell r="C37">
            <v>225923.32369108568</v>
          </cell>
          <cell r="D37">
            <v>7.7000000000000073</v>
          </cell>
          <cell r="H37" t="str">
            <v>Strip Curtain Savings (Concat Name)</v>
          </cell>
          <cell r="I37" t="str">
            <v>Case Description</v>
          </cell>
          <cell r="J37" t="str">
            <v>Pre-Existing Curtains</v>
          </cell>
          <cell r="K37" t="str">
            <v>kWh/sf</v>
          </cell>
          <cell r="L37" t="str">
            <v>kW/sf</v>
          </cell>
          <cell r="N37" t="str">
            <v>Steam Cooker (Size)</v>
          </cell>
          <cell r="O37" t="str">
            <v>kWh</v>
          </cell>
          <cell r="P37" t="str">
            <v>kW</v>
          </cell>
        </row>
        <row r="38">
          <cell r="B38" t="str">
            <v>Water Cooled Centrifugal &lt;300 Tons (min. eff. of 0.60 kW/ton full load and 0.40 kW/ton IPLV)</v>
          </cell>
          <cell r="C38">
            <v>75307.774563695231</v>
          </cell>
          <cell r="D38">
            <v>1.5400000000000014</v>
          </cell>
          <cell r="H38" t="str">
            <v>Supermarket – CoolerYes</v>
          </cell>
          <cell r="I38" t="str">
            <v>Supermarket – Cooler</v>
          </cell>
          <cell r="J38" t="str">
            <v>Yes</v>
          </cell>
          <cell r="K38">
            <v>37</v>
          </cell>
          <cell r="L38">
            <v>4.2199999999999998E-3</v>
          </cell>
          <cell r="N38" t="str">
            <v>3-Pan</v>
          </cell>
          <cell r="O38">
            <v>28214</v>
          </cell>
          <cell r="P38">
            <v>5.4</v>
          </cell>
        </row>
        <row r="39">
          <cell r="B39" t="str">
            <v>Water Cooled Centrifugal &gt;=300 and &lt;600 Tons (min. eff. of 0.55 kW/ton full load and 0.39 kW/ton IPLV)</v>
          </cell>
          <cell r="C39">
            <v>158146.32658375995</v>
          </cell>
          <cell r="D39">
            <v>3.8500000000000036</v>
          </cell>
          <cell r="H39" t="str">
            <v>Supermarket – CoolerNo</v>
          </cell>
          <cell r="I39" t="str">
            <v>Supermarket – Cooler</v>
          </cell>
          <cell r="J39" t="str">
            <v>No</v>
          </cell>
          <cell r="K39">
            <v>108</v>
          </cell>
          <cell r="L39">
            <v>1.23E-2</v>
          </cell>
          <cell r="N39" t="str">
            <v>4-Pan</v>
          </cell>
          <cell r="O39">
            <v>38081</v>
          </cell>
          <cell r="P39">
            <v>7.3</v>
          </cell>
        </row>
        <row r="40">
          <cell r="H40" t="str">
            <v>Supermarket – CoolerUnknown</v>
          </cell>
          <cell r="I40" t="str">
            <v>Supermarket – Cooler</v>
          </cell>
          <cell r="J40" t="str">
            <v>Unknown</v>
          </cell>
          <cell r="K40">
            <v>62</v>
          </cell>
          <cell r="L40">
            <v>7.0800000000000004E-3</v>
          </cell>
          <cell r="N40" t="str">
            <v>5-Pan</v>
          </cell>
          <cell r="O40">
            <v>47948</v>
          </cell>
          <cell r="P40">
            <v>9.1999999999999993</v>
          </cell>
        </row>
        <row r="41">
          <cell r="H41" t="str">
            <v>Supermarket – FreezerYes</v>
          </cell>
          <cell r="I41" t="str">
            <v>Supermarket – Freezer</v>
          </cell>
          <cell r="J41" t="str">
            <v>Yes</v>
          </cell>
          <cell r="K41">
            <v>61</v>
          </cell>
          <cell r="L41">
            <v>6.96E-3</v>
          </cell>
          <cell r="N41" t="str">
            <v>6-Pan</v>
          </cell>
          <cell r="O41">
            <v>57815</v>
          </cell>
          <cell r="P41">
            <v>11.1</v>
          </cell>
        </row>
        <row r="42">
          <cell r="B42" t="str">
            <v>ECM Motors (HVAC)</v>
          </cell>
          <cell r="C42">
            <v>355.79297454545502</v>
          </cell>
          <cell r="D42">
            <v>6.70158E-2</v>
          </cell>
          <cell r="H42" t="str">
            <v>Supermarket – FreezerNo</v>
          </cell>
          <cell r="I42" t="str">
            <v>Supermarket – Freezer</v>
          </cell>
          <cell r="J42" t="str">
            <v>No</v>
          </cell>
          <cell r="K42">
            <v>179</v>
          </cell>
          <cell r="L42">
            <v>3.9800000000000002E-2</v>
          </cell>
        </row>
        <row r="43">
          <cell r="H43" t="str">
            <v>Supermarket – FreezerUnknown</v>
          </cell>
          <cell r="I43" t="str">
            <v>Supermarket – Freezer</v>
          </cell>
          <cell r="J43" t="str">
            <v>Unknown</v>
          </cell>
          <cell r="K43">
            <v>119</v>
          </cell>
          <cell r="L43">
            <v>1.358E-2</v>
          </cell>
          <cell r="U43" t="str">
            <v>PRSV Savings (Building Type)</v>
          </cell>
          <cell r="V43" t="str">
            <v>kWh</v>
          </cell>
          <cell r="W43" t="str">
            <v>kW</v>
          </cell>
        </row>
        <row r="44">
          <cell r="B44" t="str">
            <v>GREM Savings</v>
          </cell>
          <cell r="C44" t="str">
            <v>kWh</v>
          </cell>
          <cell r="D44" t="str">
            <v>kW</v>
          </cell>
          <cell r="H44" t="str">
            <v>Convenience Store - CoolerYes</v>
          </cell>
          <cell r="I44" t="str">
            <v>Convenience Store - Cooler</v>
          </cell>
          <cell r="J44" t="str">
            <v>Yes</v>
          </cell>
          <cell r="K44">
            <v>5</v>
          </cell>
          <cell r="L44">
            <v>5.6999999999999998E-4</v>
          </cell>
          <cell r="N44" t="str">
            <v>Concat Name</v>
          </cell>
          <cell r="O44" t="str">
            <v>kWh</v>
          </cell>
          <cell r="P44" t="str">
            <v>kW</v>
          </cell>
          <cell r="U44" t="str">
            <v>Fast Food</v>
          </cell>
          <cell r="V44">
            <v>4327.3637224977647</v>
          </cell>
          <cell r="W44">
            <v>0.59278955102709108</v>
          </cell>
        </row>
        <row r="45">
          <cell r="B45" t="str">
            <v xml:space="preserve">Guest Room Energy Management Controls </v>
          </cell>
          <cell r="C45">
            <v>590.20000000000005</v>
          </cell>
          <cell r="D45">
            <v>0.248</v>
          </cell>
          <cell r="H45" t="str">
            <v>Convenience Store - CoolerNo</v>
          </cell>
          <cell r="I45" t="str">
            <v>Convenience Store - Cooler</v>
          </cell>
          <cell r="J45" t="str">
            <v>No</v>
          </cell>
          <cell r="K45">
            <v>20</v>
          </cell>
          <cell r="L45">
            <v>2.2799999999999999E-3</v>
          </cell>
          <cell r="N45" t="str">
            <v>Ice Making Heads, Batch Type</v>
          </cell>
          <cell r="O45">
            <v>223</v>
          </cell>
          <cell r="P45">
            <v>0.03</v>
          </cell>
          <cell r="U45" t="str">
            <v>Casual Dining</v>
          </cell>
          <cell r="V45">
            <v>10097.18201916145</v>
          </cell>
          <cell r="W45">
            <v>1.10654049525057</v>
          </cell>
        </row>
        <row r="46">
          <cell r="H46" t="str">
            <v>Convenience Store - CoolerUnknown</v>
          </cell>
          <cell r="I46" t="str">
            <v>Convenience Store - Cooler</v>
          </cell>
          <cell r="J46" t="str">
            <v>Unknown</v>
          </cell>
          <cell r="K46">
            <v>11</v>
          </cell>
          <cell r="L46">
            <v>1.2600000000000001E-3</v>
          </cell>
          <cell r="N46" t="str">
            <v>Ice Making Heads, Continuous Type</v>
          </cell>
          <cell r="O46">
            <v>792</v>
          </cell>
          <cell r="P46">
            <v>0.09</v>
          </cell>
          <cell r="U46" t="str">
            <v>Institutional</v>
          </cell>
          <cell r="V46">
            <v>15159.604784932806</v>
          </cell>
          <cell r="W46">
            <v>1.6598107428758551</v>
          </cell>
        </row>
        <row r="47">
          <cell r="B47" t="str">
            <v>Duct Sealing Savings</v>
          </cell>
          <cell r="C47" t="str">
            <v>kWh/CFM</v>
          </cell>
          <cell r="D47" t="str">
            <v>kW/CFM</v>
          </cell>
          <cell r="H47" t="str">
            <v>Convenience Store - FreezerYes</v>
          </cell>
          <cell r="I47" t="str">
            <v>Convenience Store - Freezer</v>
          </cell>
          <cell r="J47" t="str">
            <v>Yes</v>
          </cell>
          <cell r="K47">
            <v>8</v>
          </cell>
          <cell r="L47">
            <v>9.1E-4</v>
          </cell>
          <cell r="N47" t="str">
            <v>Remote Condensing Units, Batch Type</v>
          </cell>
          <cell r="O47">
            <v>921</v>
          </cell>
          <cell r="P47">
            <v>0.11</v>
          </cell>
          <cell r="U47" t="str">
            <v>Dormitory</v>
          </cell>
          <cell r="V47">
            <v>20194.364038322899</v>
          </cell>
          <cell r="W47">
            <v>2.2130809905011399</v>
          </cell>
        </row>
        <row r="48">
          <cell r="B48" t="str">
            <v>Duct Sealing</v>
          </cell>
          <cell r="C48">
            <v>4.4000000000000004</v>
          </cell>
          <cell r="D48">
            <v>3.0000000000000001E-3</v>
          </cell>
          <cell r="H48" t="str">
            <v>Convenience Store - FreezerNo</v>
          </cell>
          <cell r="I48" t="str">
            <v>Convenience Store - Freezer</v>
          </cell>
          <cell r="J48" t="str">
            <v>No</v>
          </cell>
          <cell r="K48">
            <v>27</v>
          </cell>
          <cell r="L48">
            <v>3.0799999999999998E-3</v>
          </cell>
          <cell r="N48" t="str">
            <v>Remote Condensing Units, Continuous Type</v>
          </cell>
          <cell r="O48">
            <v>1037</v>
          </cell>
          <cell r="P48">
            <v>0.12</v>
          </cell>
          <cell r="U48" t="str">
            <v>K-12 School</v>
          </cell>
          <cell r="V48">
            <v>10097.18201916145</v>
          </cell>
          <cell r="W48">
            <v>1.3831756190632123</v>
          </cell>
        </row>
        <row r="49">
          <cell r="H49" t="str">
            <v>Convenience Store - FreezerUnknown</v>
          </cell>
          <cell r="I49" t="str">
            <v>Convenience Store - Freezer</v>
          </cell>
          <cell r="J49" t="str">
            <v>Unknown</v>
          </cell>
          <cell r="K49">
            <v>17</v>
          </cell>
          <cell r="L49">
            <v>1.9400000000000001E-3</v>
          </cell>
          <cell r="N49" t="str">
            <v>Self-Contained Units, Batch Type</v>
          </cell>
          <cell r="O49">
            <v>303</v>
          </cell>
          <cell r="P49">
            <v>0.03</v>
          </cell>
          <cell r="U49" t="str">
            <v>Other</v>
          </cell>
          <cell r="V49">
            <v>12334.764977771711</v>
          </cell>
          <cell r="W49">
            <v>1.4938296685882693</v>
          </cell>
        </row>
        <row r="50">
          <cell r="H50" t="str">
            <v>Restaurant - CoolerYes</v>
          </cell>
          <cell r="I50" t="str">
            <v>Restaurant - Cooler</v>
          </cell>
          <cell r="J50" t="str">
            <v>Yes</v>
          </cell>
          <cell r="K50">
            <v>8</v>
          </cell>
          <cell r="L50">
            <v>9.1E-4</v>
          </cell>
          <cell r="N50" t="str">
            <v>Self-Contained Units, Continuous Type</v>
          </cell>
          <cell r="O50">
            <v>118</v>
          </cell>
          <cell r="P50">
            <v>0.01</v>
          </cell>
        </row>
        <row r="51">
          <cell r="H51" t="str">
            <v>Restaurant – CoolerNo</v>
          </cell>
          <cell r="I51" t="str">
            <v>Restaurant – Cooler</v>
          </cell>
          <cell r="J51" t="str">
            <v>No</v>
          </cell>
          <cell r="K51">
            <v>30</v>
          </cell>
          <cell r="L51">
            <v>3.4199999999999999E-3</v>
          </cell>
        </row>
        <row r="52">
          <cell r="H52" t="str">
            <v>Restaurant – CoolerUnknown</v>
          </cell>
          <cell r="I52" t="str">
            <v>Restaurant – Cooler</v>
          </cell>
          <cell r="J52" t="str">
            <v>Unknown</v>
          </cell>
          <cell r="K52">
            <v>18</v>
          </cell>
          <cell r="L52">
            <v>2.0500000000000002E-3</v>
          </cell>
        </row>
        <row r="53">
          <cell r="H53" t="str">
            <v>Restaurant - FreezerYes</v>
          </cell>
          <cell r="I53" t="str">
            <v>Restaurant - Freezer</v>
          </cell>
          <cell r="J53" t="str">
            <v>Yes</v>
          </cell>
          <cell r="K53">
            <v>34</v>
          </cell>
          <cell r="L53">
            <v>3.8800000000000002E-3</v>
          </cell>
        </row>
        <row r="54">
          <cell r="H54" t="str">
            <v>Restaurant - FreezerNo</v>
          </cell>
          <cell r="I54" t="str">
            <v>Restaurant - Freezer</v>
          </cell>
          <cell r="J54" t="str">
            <v>No</v>
          </cell>
          <cell r="K54">
            <v>119</v>
          </cell>
          <cell r="L54">
            <v>1.358E-2</v>
          </cell>
        </row>
        <row r="55">
          <cell r="H55" t="str">
            <v>Restaurant - FreezerUnknown</v>
          </cell>
          <cell r="I55" t="str">
            <v>Restaurant - Freezer</v>
          </cell>
          <cell r="J55" t="str">
            <v>Unknown</v>
          </cell>
          <cell r="K55">
            <v>81</v>
          </cell>
          <cell r="L55">
            <v>9.2499999999999995E-3</v>
          </cell>
        </row>
        <row r="56">
          <cell r="H56" t="str">
            <v>Refrigerated WarehouseYes</v>
          </cell>
          <cell r="I56" t="str">
            <v>Refrigerated Warehouse</v>
          </cell>
          <cell r="J56" t="str">
            <v>Yes</v>
          </cell>
          <cell r="K56">
            <v>254</v>
          </cell>
          <cell r="L56">
            <v>2.9000000000000001E-2</v>
          </cell>
        </row>
        <row r="57">
          <cell r="H57" t="str">
            <v>Refrigerated WarehouseNo</v>
          </cell>
          <cell r="I57" t="str">
            <v>Refrigerated Warehouse</v>
          </cell>
          <cell r="J57" t="str">
            <v>No</v>
          </cell>
          <cell r="K57">
            <v>729</v>
          </cell>
          <cell r="L57">
            <v>8.3220000000000002E-2</v>
          </cell>
        </row>
        <row r="58">
          <cell r="H58" t="str">
            <v>Refrigerated WarehouseUnknown</v>
          </cell>
          <cell r="I58" t="str">
            <v>Refrigerated Warehouse</v>
          </cell>
          <cell r="J58" t="str">
            <v>Unknown</v>
          </cell>
          <cell r="K58">
            <v>287</v>
          </cell>
          <cell r="L58">
            <v>3.2759999999999997E-2</v>
          </cell>
        </row>
        <row r="78">
          <cell r="U78" t="str">
            <v>Showerhead Savings (Building Type)</v>
          </cell>
          <cell r="V78" t="str">
            <v>kWh</v>
          </cell>
          <cell r="W78" t="str">
            <v>kW</v>
          </cell>
        </row>
        <row r="79">
          <cell r="U79" t="str">
            <v>Hospital</v>
          </cell>
          <cell r="V79">
            <v>495.33452376927249</v>
          </cell>
          <cell r="W79">
            <v>4.071242661117308E-2</v>
          </cell>
        </row>
        <row r="80">
          <cell r="U80" t="str">
            <v>Lodging</v>
          </cell>
          <cell r="V80">
            <v>695.69455585572007</v>
          </cell>
          <cell r="W80">
            <v>3.8120249635929866E-2</v>
          </cell>
        </row>
        <row r="81">
          <cell r="U81" t="str">
            <v>Commercial</v>
          </cell>
          <cell r="V81">
            <v>369.76642146851964</v>
          </cell>
          <cell r="W81">
            <v>0.11832525486992629</v>
          </cell>
        </row>
        <row r="82">
          <cell r="U82" t="str">
            <v>Fitness Center</v>
          </cell>
          <cell r="V82">
            <v>11097.719555010446</v>
          </cell>
          <cell r="W82">
            <v>2.4323768887694128</v>
          </cell>
        </row>
        <row r="83">
          <cell r="U83" t="str">
            <v>School</v>
          </cell>
          <cell r="V83">
            <v>402.54983615541937</v>
          </cell>
          <cell r="W83">
            <v>0.10063745903885485</v>
          </cell>
        </row>
        <row r="84">
          <cell r="U84" t="str">
            <v>Other</v>
          </cell>
          <cell r="V84">
            <v>369.76642146851964</v>
          </cell>
          <cell r="W84">
            <v>0.11832525486992629</v>
          </cell>
        </row>
      </sheetData>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
      <sheetName val="Summary"/>
      <sheetName val="Review"/>
      <sheetName val="EnSmPC"/>
      <sheetName val="Tables"/>
      <sheetName val="Library"/>
      <sheetName val="Analysis"/>
      <sheetName val="WE"/>
      <sheetName val="OE"/>
      <sheetName val="EQ"/>
      <sheetName val="TAC"/>
      <sheetName val="PA"/>
      <sheetName val="AS"/>
      <sheetName val="DummyCopy"/>
      <sheetName val="PML"/>
      <sheetName val="PL"/>
      <sheetName val="PLC"/>
      <sheetName val="PH"/>
      <sheetName val="PR"/>
      <sheetName val="PCK"/>
      <sheetName val="PM"/>
      <sheetName val="CLI"/>
      <sheetName val="FT"/>
      <sheetName val="CH"/>
      <sheetName val="CLPost"/>
      <sheetName val="CLPre"/>
      <sheetName val="CN"/>
      <sheetName val="CK"/>
      <sheetName val="SR"/>
      <sheetName val="P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
      <sheetName val="Summary"/>
      <sheetName val="Review"/>
      <sheetName val="EnSmPC"/>
      <sheetName val="Tables"/>
      <sheetName val="Library"/>
      <sheetName val="Analysis"/>
      <sheetName val="WE"/>
      <sheetName val="OE"/>
      <sheetName val="EQ"/>
      <sheetName val="TAC"/>
      <sheetName val="PA"/>
      <sheetName val="AS"/>
      <sheetName val="DummyCopy"/>
      <sheetName val="PML"/>
      <sheetName val="PL"/>
      <sheetName val="PLC"/>
      <sheetName val="PH"/>
      <sheetName val="PR"/>
      <sheetName val="PCK"/>
      <sheetName val="PM"/>
      <sheetName val="CLI"/>
      <sheetName val="FT"/>
      <sheetName val="CH"/>
      <sheetName val="CLPost"/>
      <sheetName val="CLPre"/>
      <sheetName val="CN"/>
      <sheetName val="CK"/>
      <sheetName val="SR"/>
      <sheetName val="P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B219B1AF-9DD7-4B07-98FA-2CC58DBD0253}"/>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5:X55" totalsRowShown="0" headerRowDxfId="145" dataDxfId="143" headerRowBorderDxfId="144" tableBorderDxfId="142" totalsRowBorderDxfId="141" headerRowCellStyle="Table Top 1" dataCellStyle="Locked Cell">
  <tableColumns count="23">
    <tableColumn id="1" xr3:uid="{8F9C875C-9563-4ABB-B625-09C157533782}" name="Line ref. no." dataDxfId="140" dataCellStyle="Locked Cell"/>
    <tableColumn id="2" xr3:uid="{46C6C011-1316-4CC5-A76D-C108F8C6CA48}" name="Measure number" dataDxfId="139" dataCellStyle="Locked Cell">
      <calculatedColumnFormula>IFERROR(INDEX(Table_Prescript_Meas[Measure Number], MATCH(E6, Table_Prescript_Meas[Measure Description], 0)), "")</calculatedColumnFormula>
    </tableColumn>
    <tableColumn id="3" xr3:uid="{B3CC9771-7C6F-449B-85D9-1ECC10D7772F}" name="Location/measure notes" dataDxfId="138" dataCellStyle="Locked Cell"/>
    <tableColumn id="4" xr3:uid="{81D64D76-AD10-4279-8BB9-C983A5F9AFD2}" name="DX tune-up measure" dataDxfId="137" dataCellStyle="Input General"/>
    <tableColumn id="5" xr3:uid="{4C67F5B5-106B-4EE5-80F4-0928E678A73D}" name="Unit of measure" dataDxfId="136" dataCellStyle="Locked Cell">
      <calculatedColumnFormula>IFERROR(INDEX(Table_Prescript_Meas[Units], MATCH(Table_PrescriptLights_Input[[#This Row],[Measure number]], Table_Prescript_Meas[Measure Number], 0)), "")</calculatedColumnFormula>
    </tableColumn>
    <tableColumn id="9" xr3:uid="{1C657E22-9C15-4CE8-82E7-5398C82E25D2}" name="Unit capacity (tons)" dataDxfId="135" dataCellStyle="Input General"/>
    <tableColumn id="27" xr3:uid="{66653FDD-3CE9-400C-9BB2-87B2DBC3D409}" name="Unit make &amp; model" dataDxfId="134" dataCellStyle="Input General"/>
    <tableColumn id="6" xr3:uid="{48F2D680-CB20-403F-8048-DA35EC24758C}" name="Refrigerant Charge Adjustment?" dataDxfId="133" dataCellStyle="Input General"/>
    <tableColumn id="13" xr3:uid="{41D423BF-BC9D-4A31-AFBB-A0282D25DE1A}" name="EER" dataDxfId="132" dataCellStyle="Input General">
      <calculatedColumnFormula>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calculatedColumnFormula>
    </tableColumn>
    <tableColumn id="12" xr3:uid="{C10E2F13-F9B4-43AD-B30D-AA1CC26841E7}" name="HSPF" dataDxfId="131" dataCellStyle="Input General">
      <calculatedColumnFormula>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calculatedColumnFormula>
    </tableColumn>
    <tableColumn id="10" xr3:uid="{01EE3323-40BF-43E8-A6BF-B105BA2F38E2}" name="Pre-voltage measurement" dataDxfId="130" dataCellStyle="Input General"/>
    <tableColumn id="11" xr3:uid="{0C0D8B49-BF55-4944-844A-0A9DE61206D3}" name="Post-voltage measurement" dataDxfId="129" dataCellStyle="Input General"/>
    <tableColumn id="8" xr3:uid="{1F1CA8C4-3BDE-4AC5-BAA5-4B9E0FEE46DB}" name="Pre-amperage measurement" dataDxfId="128" dataCellStyle="Input General"/>
    <tableColumn id="7" xr3:uid="{7FB1A9D2-0768-42EE-8DA6-A7C20C689834}" name="Post-amperage measurement" dataDxfId="127" dataCellStyle="Input General"/>
    <tableColumn id="15" xr3:uid="{73391BD7-BA9B-4655-8D59-8036683B6997}" name="Total equipment + labor cost" dataDxfId="126" dataCellStyle="Input General"/>
    <tableColumn id="16" xr3:uid="{75D6130F-A3AD-4B6C-8D4A-A9BF89230E2D}" name="Per-unit incentive" dataDxfId="125" dataCellStyle="Locked Cell">
      <calculatedColumnFormula>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calculatedColumnFormula>
    </tableColumn>
    <tableColumn id="17" xr3:uid="{10CA3C0B-F6F6-4CD9-BAFE-66EF99651F2B}" name="Estimated incentive" dataDxfId="124" dataCellStyle="Calculation">
      <calculatedColumnFormula>IF(Table_PrescriptLights_Input[[#This Row],[Unit capacity (tons)]]="","",IFERROR(Table_PrescriptLights_Input[[#This Row],[Per-unit incentive]],""))</calculatedColumnFormula>
    </tableColumn>
    <tableColumn id="18" xr3:uid="{242BB73F-FF6A-4795-8760-4BF5E54052DF}" name="Energy savings (kWh)" dataDxfId="123" dataCellStyle="Calculation">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calculatedColumnFormula>
    </tableColumn>
    <tableColumn id="20" xr3:uid="{1D47EF14-5FDD-46D6-BD70-A783441979ED}" name="Demand reduction (kW)" dataDxfId="122" dataCellStyle="Calculation">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calculatedColumnFormula>
    </tableColumn>
    <tableColumn id="19" xr3:uid="{9353DCEE-B0B9-4D5E-99AD-C689A8C09023}" name="Cost savings" dataDxfId="121" dataCellStyle="Calculation">
      <calculatedColumnFormula>IFERROR(Table_PrescriptLights_Input[[#This Row],[Energy savings (kWh)]]*Input_AvgkWhRate, "")</calculatedColumnFormula>
    </tableColumn>
    <tableColumn id="25" xr3:uid="{F3721235-2AC1-4A24-BEAB-C067BFB49151}" name="Gross measure cost" dataDxfId="120" dataCellStyle="Calculation">
      <calculatedColumnFormula>IF(Table_PrescriptLights_Input[[#This Row],[Unit capacity (tons)]]="", "",Table_PrescriptLights_Input[[#This Row],[Total equipment + labor cost]])</calculatedColumnFormula>
    </tableColumn>
    <tableColumn id="21" xr3:uid="{61B34AB5-3923-452A-A360-BEE9FD62F90C}" name="Net measure cost" dataDxfId="119" dataCellStyle="Calculation">
      <calculatedColumnFormula>IFERROR(Table_PrescriptLights_Input[[#This Row],[Gross measure cost]]-Table_PrescriptLights_Input[[#This Row],[Estimated incentive]], "")</calculatedColumnFormula>
    </tableColumn>
    <tableColumn id="22" xr3:uid="{72C4AABA-BB74-40F5-B832-4F50AEC6866D}" name="Simple payback (years)" dataDxfId="118" dataCellStyle="Calculation">
      <calculatedColumnFormula>IFERROR($W6/$U6,"")</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L212" totalsRowShown="0" headerRowDxfId="16" dataDxfId="14" headerRowBorderDxfId="15" tableBorderDxfId="13" totalsRowBorderDxfId="12">
  <autoFilter ref="A1:L212" xr:uid="{AC1521BA-AD84-493D-AF13-55C57F1C1791}"/>
  <tableColumns count="12">
    <tableColumn id="1" xr3:uid="{3DB06459-5EF0-4845-87C6-71093DF4D059}" name="Tab" dataDxfId="11"/>
    <tableColumn id="2" xr3:uid="{9EDF22A4-E4B2-48B6-AD3D-0BE485A40D26}" name="Project Number" dataDxfId="10">
      <calculatedColumnFormula>Input_ProjectNumber</calculatedColumnFormula>
    </tableColumn>
    <tableColumn id="3" xr3:uid="{F859D182-8016-4172-A4B6-3B0EEE37FAE5}" name="Line Ref No." dataDxfId="9"/>
    <tableColumn id="4" xr3:uid="{C54F4813-8C41-4CD8-A0D4-73CBF600E09F}" name="Measure Number" dataDxfId="8"/>
    <tableColumn id="5" xr3:uid="{19E1D120-0A8A-4B1A-94ED-FA426FDD8475}" name="Unit of Measure" dataDxfId="7"/>
    <tableColumn id="6" xr3:uid="{1F77E8C1-7320-44EA-8A57-57259BF07F35}" name="Units" dataDxfId="6"/>
    <tableColumn id="7" xr3:uid="{1F937121-6018-4D01-A8F7-949B9D82B1AC}" name="kWh Savings" dataDxfId="5"/>
    <tableColumn id="8" xr3:uid="{36567BEC-6C41-4BEF-841E-E148D3329C61}" name="kW Savings" dataDxfId="4"/>
    <tableColumn id="9" xr3:uid="{A460E20F-8F1A-440D-B049-49AE2A807C1B}" name="Incentive" dataDxfId="3">
      <calculatedColumnFormula>IFERROR(M2*MIN(Table_Measure_Caps[[#Totals],[Estimated Raw Incentive Total]], Table_Measure_Caps[[#Totals],[Gross Measure Cost Total]], Value_Project_CAP)/Table_Measure_Caps[[#Totals],[Estimated Raw Incentive Total]], "")</calculatedColumnFormula>
    </tableColumn>
    <tableColumn id="11" xr3:uid="{2AEAB220-3903-4800-985E-9696295079E6}" name="Equipment + Labor Cost" dataDxfId="2"/>
    <tableColumn id="15" xr3:uid="{31A47813-DF33-4ED0-B687-26FDA4A4DFE2}" name="Calculator Version" dataDxfId="1"/>
    <tableColumn id="16" xr3:uid="{00B36A9C-1D39-4559-88E5-6B6F68BA784A}" name="Measure Description" dataDxfId="0"/>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B3297D-6954-4316-B6C5-DD7E16D75031}" name="Table_PrescriptLights_Input5" displayName="Table_PrescriptLights_Input5" ref="B5:T55" totalsRowShown="0" headerRowDxfId="116" dataDxfId="114" headerRowBorderDxfId="115" tableBorderDxfId="113" totalsRowBorderDxfId="112" headerRowCellStyle="Table Top 1" dataCellStyle="Locked Cell">
  <tableColumns count="19">
    <tableColumn id="1" xr3:uid="{6AF85111-7E8E-466F-9D70-B57386523012}" name="Line ref. no." dataDxfId="111" dataCellStyle="Locked Cell"/>
    <tableColumn id="2" xr3:uid="{7252A63D-D7D8-4C34-B3AA-7E2450D201A8}" name="Measure number" dataDxfId="110" dataCellStyle="Locked Cell">
      <calculatedColumnFormula>IFERROR(INDEX(Table_Prescript_Meas[Measure Number], MATCH(E6, Table_Prescript_Meas[Measure Description], 0)), "")</calculatedColumnFormula>
    </tableColumn>
    <tableColumn id="3" xr3:uid="{AF670799-FDFD-4B0C-BD45-47E8E41A1AF5}" name="Location/measure notes" dataDxfId="109" dataCellStyle="Locked Cell"/>
    <tableColumn id="4" xr3:uid="{233AF04A-A95D-48D5-803D-A7F19F79C91F}" name="Chiller tune-up measure" dataDxfId="108" dataCellStyle="Input General"/>
    <tableColumn id="5" xr3:uid="{7D6275B2-47CA-4DA5-A622-3B8BFC2A4DC5}" name="Unit of measure" dataDxfId="107" dataCellStyle="Locked Cell">
      <calculatedColumnFormula>IFERROR(INDEX(Table_Prescript_Meas[Units], MATCH(Table_PrescriptLights_Input5[[#This Row],[Measure number]], Table_Prescript_Meas[Measure Number], 0)), "")</calculatedColumnFormula>
    </tableColumn>
    <tableColumn id="9" xr3:uid="{A76B2E60-E258-42F0-AB4A-2433D1D62567}" name="Unit capacity (tons)" dataDxfId="106" dataCellStyle="Input General"/>
    <tableColumn id="10" xr3:uid="{B070EA37-CEDE-4C91-A068-3FFDEDA41B85}" name="Unit make &amp; model" dataDxfId="105" dataCellStyle="Input General"/>
    <tableColumn id="6" xr3:uid="{434E24F1-F4DA-4B70-98BF-F52E061E0F48}" name="Number of units" dataDxfId="104" dataCellStyle="Input General"/>
    <tableColumn id="8" xr3:uid="{20657895-A3BE-4F96-930C-38E8F79DDA8E}" name="Full load kW/ton" dataDxfId="103" dataCellStyle="Input General"/>
    <tableColumn id="7" xr3:uid="{0660A7B6-7A03-4D91-AB41-CFF820817CDE}" name="Part load (IPLV) kW/ton" dataDxfId="102" dataCellStyle="Input General"/>
    <tableColumn id="15" xr3:uid="{F6FFFBBF-697F-46F7-8CE0-66C817C0A633}" name="Total equipment + labor cost" dataDxfId="101" dataCellStyle="Input General"/>
    <tableColumn id="16" xr3:uid="{2970E3C1-36D5-486D-843A-FF58F2703FB2}" name="Per-unit incentive" dataDxfId="100" dataCellStyle="Locked Cell">
      <calculatedColumnFormula>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calculatedColumnFormula>
    </tableColumn>
    <tableColumn id="17" xr3:uid="{730E5035-FF08-4BC3-9B2C-C797E7926432}" name="Estimated incentive" dataDxfId="99" dataCellStyle="Calculation">
      <calculatedColumnFormula>IF(Table_PrescriptLights_Input5[[#This Row],[Unit capacity (tons)]]="","",IFERROR(Table_PrescriptLights_Input5[[#This Row],[Per-unit incentive]]*Table_PrescriptLights_Input5[[#This Row],[Unit capacity (tons)]]*Table_PrescriptLights_Input5[[#This Row],[Number of units]],""))</calculatedColumnFormula>
    </tableColumn>
    <tableColumn id="18" xr3:uid="{9FC94D01-C342-4F01-9FA5-0DF1BE47DE19}" name="Energy savings (kWh)" dataDxfId="98" dataCellStyle="Calculation">
      <calculatedColumnFormula>IF(Table_PrescriptLights_Input5[[#This Row],[Unit capacity (tons)]]="","",Table_PrescriptLights_Input5[[#This Row],[Unit capacity (tons)]]*Table_PrescriptLights_Input5[[#This Row],[Number of units]]*Table_PrescriptLights_Input5[[#This Row],[Part load (IPLV) kW/ton]]*VLOOKUP($E$4,References!$N$103:$Q$115,2,FALSE)*0.05)</calculatedColumnFormula>
    </tableColumn>
    <tableColumn id="20" xr3:uid="{D5FA8FA8-C1E2-417E-9989-0A76A9A1F489}" name="Demand reduction (kW)" dataDxfId="97" dataCellStyle="Calculation">
      <calculatedColumnFormula>IF(Table_PrescriptLights_Input5[[#This Row],[Unit capacity (tons)]]="","",Table_PrescriptLights_Input5[[#This Row],[Unit capacity (tons)]]*Table_PrescriptLights_Input5[[#This Row],[Number of units]]*Table_PrescriptLights_Input5[[#This Row],[Full load kW/ton]]*VLOOKUP($E$4,References!$N$103:$Q$115,4,FALSE)*0.05)</calculatedColumnFormula>
    </tableColumn>
    <tableColumn id="19" xr3:uid="{CC09A20D-B17F-46A1-9CFF-B3B569A9C65D}" name="Cost savings" dataDxfId="96" dataCellStyle="Calculation">
      <calculatedColumnFormula>IFERROR(Table_PrescriptLights_Input5[[#This Row],[Energy savings (kWh)]]*Input_AvgkWhRate, "")</calculatedColumnFormula>
    </tableColumn>
    <tableColumn id="25" xr3:uid="{53EA0721-203C-4318-9CFB-7308F0CC8F6C}" name="Gross measure cost" dataDxfId="95" dataCellStyle="Calculation">
      <calculatedColumnFormula>IF(Table_PrescriptLights_Input5[[#This Row],[Unit capacity (tons)]]="", "",#REF!+Table_PrescriptLights_Input5[[#This Row],[Total equipment + labor cost]])</calculatedColumnFormula>
    </tableColumn>
    <tableColumn id="21" xr3:uid="{311DDD8C-FC73-4F5E-84DA-99C115AEBEED}" name="Net measure cost" dataDxfId="94" dataCellStyle="Calculation">
      <calculatedColumnFormula>IFERROR(Table_PrescriptLights_Input5[[#This Row],[Gross measure cost]]-Table_PrescriptLights_Input5[[#This Row],[Estimated incentive]], "")</calculatedColumnFormula>
    </tableColumn>
    <tableColumn id="22" xr3:uid="{6A93F0C1-0796-49EA-87FC-588A1E50CDFB}" name="Simple payback (years)" dataDxfId="93" dataCellStyle="Calculation">
      <calculatedColumnFormula>IFERROR($S6/$Q6,"")</calculatedColumnFormula>
    </tableColumn>
  </tableColumns>
  <tableStyleInfo name="Lookup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20:D23" totalsRowCount="1" headerRowDxfId="86" dataDxfId="85" totalsRowDxfId="83" tableBorderDxfId="84" totalsRowBorderDxfId="82" headerRowCellStyle="Table Top 2">
  <autoFilter ref="B20:D22" xr:uid="{B3E3CD38-913D-4F45-A343-C44868F40E80}">
    <filterColumn colId="0" hiddenButton="1"/>
    <filterColumn colId="1" hiddenButton="1"/>
    <filterColumn colId="2" hiddenButton="1"/>
  </autoFilter>
  <tableColumns count="3">
    <tableColumn id="1" xr3:uid="{83B90E73-B8F8-4BE8-A365-A62775107D60}" name="Incentive type" totalsRowLabel="Total" dataDxfId="81" totalsRowDxfId="80" dataCellStyle="Locked Cell Bold">
      <calculatedColumnFormula>Caps!B3</calculatedColumnFormula>
    </tableColumn>
    <tableColumn id="2" xr3:uid="{BB580220-364F-4342-A480-3A7F0A85971E}" name="Energy savings (kWh)" totalsRowFunction="sum" dataDxfId="79" totalsRowDxfId="78" dataCellStyle="Locked Cell White"/>
    <tableColumn id="3" xr3:uid="{08D5337C-CE22-4B9F-9C93-9E240610E3CF}" name="kW reduction" totalsRowFunction="sum" dataDxfId="77" totalsRowDxfId="76" dataCellStyle="Locked Cell White">
      <calculatedColumnFormula>Caps!E3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6:G30" totalsRowCount="1" headerRowDxfId="75" dataDxfId="74" totalsRowDxfId="72" tableBorderDxfId="73" totalsRowBorderDxfId="71" headerRowCellStyle="Table Top 2" dataCellStyle="Locked Cell White">
  <tableColumns count="6">
    <tableColumn id="1" xr3:uid="{D548A418-04DA-4B50-A62E-C275304AA5D5}" name="Incentive type" totalsRowLabel="Total" dataDxfId="70" totalsRowDxfId="69" dataCellStyle="Locked Cell Bold"/>
    <tableColumn id="2" xr3:uid="{C84C9810-0655-48B1-BBAC-7F4CE667FA2F}" name="Cost savings" totalsRowFunction="sum" dataDxfId="68" totalsRowDxfId="67"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66" totalsRowDxfId="65"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custom" dataDxfId="64" totalsRowDxfId="63" dataCellStyle="Currency">
      <calculatedColumnFormula>INDEX(Table_Measure_Caps[Capped Incentive], MATCH(Table15[[#This Row],[Incentive type]], Table_Measure_Caps[Measure Type], 0))</calculatedColumnFormula>
      <totalsRowFormula>MIN(Value_Measure_CAP,SUBTOTAL(109,Table15[Estimated incentive]))</totalsRowFormula>
    </tableColumn>
    <tableColumn id="7" xr3:uid="{313B6AB0-18D4-414B-8255-A4B0D4E313F6}" name="Net project cost" totalsRowFunction="sum" dataDxfId="62" totalsRowDxfId="61" dataCellStyle="Currency"/>
    <tableColumn id="8" xr3:uid="{0947E50A-946D-4F5D-8278-1B82EC35172D}" name="Simple payback (years)" totalsRowFunction="custom" dataDxfId="60" totalsRowDxfId="59"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Q98" totalsRowShown="0">
  <autoFilter ref="D3:Q98" xr:uid="{1E796AFA-733C-434F-BDDC-2899ECA53AB7}"/>
  <sortState xmlns:xlrd2="http://schemas.microsoft.com/office/spreadsheetml/2017/richdata2" ref="D4:N67">
    <sortCondition ref="D3:D67"/>
  </sortState>
  <tableColumns count="14">
    <tableColumn id="13" xr3:uid="{012E9E51-5028-4922-9691-1FBAD313D544}" name="Sort Order"/>
    <tableColumn id="7" xr3:uid="{AB63D968-5021-493B-BE1F-3A64316ACC31}" name="Type" dataDxfId="58"/>
    <tableColumn id="5" xr3:uid="{F18435E4-A28A-404F-9592-218A633520A0}" name="Measure Number" dataDxfId="57"/>
    <tableColumn id="1" xr3:uid="{A3E2A2E2-AD9F-4EDF-8AD1-B97F6A2E727B}" name="Measure Description"/>
    <tableColumn id="2" xr3:uid="{62C320E2-6C47-4072-836B-0FA25E2EA64A}" name="Incentive - LC (RCA)" dataDxfId="56"/>
    <tableColumn id="3" xr3:uid="{9829818C-AAD4-47CD-862A-5F923ABB1CAC}" name="Incentive - SC (RCA)" dataDxfId="55"/>
    <tableColumn id="12" xr3:uid="{6E392BE7-B04F-44D7-994A-BB049CF8EB20}" name="Incentive - LC (No RCA)" dataDxfId="54"/>
    <tableColumn id="11" xr3:uid="{F9A2F88A-B165-4FF4-8381-428CB95F3BE0}" name="Incentive - SC (No RCA)" dataDxfId="53"/>
    <tableColumn id="9" xr3:uid="{068F67F4-0D82-4BE2-BDE8-6E4DB8DEED5A}" name="Average Tons" dataDxfId="52"/>
    <tableColumn id="4" xr3:uid="{B3C7B82F-2C2A-4B14-952B-B59A9EAADE36}" name="Units"/>
    <tableColumn id="10" xr3:uid="{C8C6E27F-E414-402B-93BF-418D93F7AE06}" name="Deemed kWh Savings" dataDxfId="51">
      <calculatedColumnFormula>Table_Prescript_Meas[[#This Row],[Average Tons]]*VLOOKUP('A-C &amp; Heat Pumps'!$E$4,References!$T$5:$V$15,2,FALSE)</calculatedColumnFormula>
    </tableColumn>
    <tableColumn id="8" xr3:uid="{3641EB83-A3B7-48F3-85CD-C934D13930A5}" name="Deemed kW Savings" dataDxfId="50">
      <calculatedColumnFormula>Table_Prescript_Meas[[#This Row],[Average Tons]]*VLOOKUP('A-C &amp; Heat Pumps'!$E$4,References!$T$5:$V$15,3,FALSE)</calculatedColumnFormula>
    </tableColumn>
    <tableColumn id="6" xr3:uid="{38E6EACF-9D92-4464-93CB-A4109D911BE6}" name="$/kWh LC" dataDxfId="49">
      <calculatedColumnFormula>Table_Prescript_Meas[[#This Row],[Incentive - LC (RCA)]]/Table_Prescript_Meas[[#This Row],[Deemed kWh Savings]]</calculatedColumnFormula>
    </tableColumn>
    <tableColumn id="14" xr3:uid="{F8331B1C-7990-4F22-9D74-F8319A8FEB46}" name="$/kWh SC" dataDxfId="48">
      <calculatedColumnFormula>Table_Prescript_Meas[[#This Row],[Incentive - SC (RCA)]]/Table_Prescript_Meas[[#This Row],[Deemed kWh Savings]]</calculatedColumnFormula>
    </tableColumn>
  </tableColumns>
  <tableStyleInfo name="Lookup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Z3:AA5" totalsRowShown="0">
  <autoFilter ref="Z3:AA5" xr:uid="{13F43150-BB1D-49F2-B060-6A5BF0371595}"/>
  <tableColumns count="2">
    <tableColumn id="1" xr3:uid="{3BF8EA89-AC12-46F5-99CC-41C83E731F21}" name="List_Programs" dataDxfId="47"/>
    <tableColumn id="2" xr3:uid="{488C031A-DF45-4211-A4B9-CE139C7ED760}" name="Custom Incentive Rate" dataDxfId="46"/>
  </tableColumns>
  <tableStyleInfo name="Lookup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5" totalsRowCount="1" headerRowDxfId="45">
  <autoFilter ref="A2:J4" xr:uid="{A563531E-FBF8-4AB3-A38F-7060C6F74F42}"/>
  <tableColumns count="10">
    <tableColumn id="1" xr3:uid="{2FC0691E-AA41-4B72-B587-A8266560EB57}" name="Worksheet" totalsRowLabel="Total"/>
    <tableColumn id="10" xr3:uid="{A9369F91-9D6F-4877-91DA-479A193A41D3}" name="Measure Type" dataDxfId="44">
      <calculatedColumnFormula>Summary!B27</calculatedColumnFormula>
    </tableColumn>
    <tableColumn id="2" xr3:uid="{D83E28AC-8A76-4C16-B98B-2F373B5D0392}" name="Estimated Raw Incentive Total" totalsRowFunction="custom" dataDxfId="43" totalsRowDxfId="42">
      <totalsRowFormula>MIN(Value_Measure_CAP,SUBTOTAL(109,Table_Measure_Caps[Estimated Raw Incentive Total]))</totalsRowFormula>
    </tableColumn>
    <tableColumn id="3" xr3:uid="{A6A92779-0E26-4488-9339-91277CD00D3C}" name="Energy Savings Total (kWh)" totalsRowFunction="sum" dataDxfId="41" totalsRowDxfId="40"/>
    <tableColumn id="4" xr3:uid="{A75B0FC7-F4C9-4E23-905D-A7F086D7E388}" name="Demand Reduction Total (kW)" totalsRowFunction="sum" dataDxfId="39" totalsRowDxfId="38"/>
    <tableColumn id="5" xr3:uid="{F9FA9204-4436-47C3-AA70-EC693EF4524F}" name="Cost Savings Total" totalsRowFunction="sum" dataDxfId="37" totalsRowDxfId="36"/>
    <tableColumn id="6" xr3:uid="{A131607F-447F-4B40-BE76-6650AAE820EE}" name="Gross Measure Cost Total" totalsRowFunction="sum" dataDxfId="35" totalsRowDxfId="34"/>
    <tableColumn id="7" xr3:uid="{0C6C6173-2706-4EAD-B4A7-49D90713FBE0}" name="Net Measure Cost Total" totalsRowFunction="sum" dataDxfId="33" totalsRowDxfId="32"/>
    <tableColumn id="8" xr3:uid="{3572CC4A-960F-4F3C-B657-B59E0880F64C}" name="Raw ItoC Ratio" totalsRowFunction="custom" dataDxfId="31" totalsRowDxfId="30"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29" totalsRowDxfId="28">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27"/>
    <tableColumn id="2" xr3:uid="{C33A9D64-1008-475E-A872-2D8F666A9B33}" name="Raw Incentive Total" dataDxfId="26"/>
    <tableColumn id="3" xr3:uid="{B530129D-6CA1-490C-A4CC-5B847BFF5C7F}" name="Uncapped Bonus" dataDxfId="25"/>
    <tableColumn id="4" xr3:uid="{84BE2AB8-EAE8-4601-B451-E59BE06594F1}" name="Final Bonus" dataDxfId="24"/>
  </tableColumns>
  <tableStyleInfo name="Lookup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23"/>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22">
      <calculatedColumnFormula>Application!F30</calculatedColumnFormula>
    </tableColumn>
    <tableColumn id="16" xr3:uid="{7CA4F0D1-7754-471C-8DEB-CAEB6649B745}" name="Check Payable To" dataDxfId="21">
      <calculatedColumnFormula>Application!F31</calculatedColumnFormula>
    </tableColumn>
    <tableColumn id="17" xr3:uid="{772C63A5-044F-47D7-89C5-9E60AFFC552A}" name="Federal Tax ID Number" dataDxfId="20">
      <calculatedColumnFormula>Application!F32</calculatedColumnFormula>
    </tableColumn>
    <tableColumn id="18" xr3:uid="{F71E6A60-E971-4C2E-96C9-6C8A1944A1FF}" name="Tax Entity" dataDxfId="19">
      <calculatedColumnFormula>Application!F33</calculatedColumnFormula>
    </tableColumn>
  </tableColumns>
  <tableStyleInfo name="Lookup Table"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120" dT="2023-06-29T19:36:56.89" personId="{A3E89FC8-9D46-4C6C-B92E-ADD4BB5C8EEA}" id="{8EF07D4B-37BF-4245-9CA3-94EB6DE9529C}">
    <text>SEER2</text>
  </threadedComment>
  <threadedComment ref="P125" dT="2023-06-29T19:40:23.46" personId="{A3E89FC8-9D46-4C6C-B92E-ADD4BB5C8EEA}" id="{62C74FEC-860C-4FD5-BBC1-61E30FA1D7C5}">
    <text>SEER2</text>
  </threadedComment>
  <threadedComment ref="Q125"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9/04/relationships/namedSheetView" Target="../namedSheetViews/namedSheetView2.xml"/><Relationship Id="rId5" Type="http://schemas.openxmlformats.org/officeDocument/2006/relationships/comments" Target="../comments3.xm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1.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omments" Target="../comments5.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5EDB-C0CB-42F0-97E4-A9358CDFD676}">
  <sheetPr>
    <tabColor rgb="FFC0C0C0"/>
  </sheetPr>
  <dimension ref="B1:E38"/>
  <sheetViews>
    <sheetView showGridLines="0" showRowColHeaders="0" tabSelected="1" workbookViewId="0">
      <selection activeCell="B5" sqref="B5:E5"/>
    </sheetView>
  </sheetViews>
  <sheetFormatPr defaultRowHeight="12.75" x14ac:dyDescent="0.2"/>
  <cols>
    <col min="1" max="1" width="1.7109375" style="150" customWidth="1"/>
    <col min="2" max="2" width="15.42578125" style="150" customWidth="1"/>
    <col min="3" max="3" width="39" style="150" customWidth="1"/>
    <col min="4" max="4" width="14.140625" style="150" customWidth="1"/>
    <col min="5" max="5" width="39" style="150" customWidth="1"/>
    <col min="6" max="16384" width="9.140625" style="150"/>
  </cols>
  <sheetData>
    <row r="1" spans="2:5" ht="75" customHeight="1" x14ac:dyDescent="0.2">
      <c r="B1" s="320"/>
      <c r="C1" s="320"/>
      <c r="D1" s="320"/>
      <c r="E1" s="320"/>
    </row>
    <row r="2" spans="2:5" ht="42.75" customHeight="1" x14ac:dyDescent="0.2">
      <c r="B2" s="319" t="s">
        <v>478</v>
      </c>
      <c r="C2" s="319"/>
      <c r="D2" s="319"/>
      <c r="E2" s="319"/>
    </row>
    <row r="3" spans="2:5" s="151" customFormat="1" x14ac:dyDescent="0.2">
      <c r="D3" s="150"/>
      <c r="E3" s="150"/>
    </row>
    <row r="4" spans="2:5" ht="15.75" customHeight="1" x14ac:dyDescent="0.2">
      <c r="B4" s="321"/>
      <c r="C4" s="321"/>
      <c r="D4" s="321"/>
      <c r="E4" s="321"/>
    </row>
    <row r="5" spans="2:5" s="154" customFormat="1" ht="78.75" customHeight="1" x14ac:dyDescent="0.2">
      <c r="B5" s="308" t="s">
        <v>494</v>
      </c>
      <c r="C5" s="308"/>
      <c r="D5" s="308"/>
      <c r="E5" s="308"/>
    </row>
    <row r="6" spans="2:5" ht="24.75" customHeight="1" x14ac:dyDescent="0.2">
      <c r="B6" s="322" t="s">
        <v>298</v>
      </c>
      <c r="C6" s="322"/>
      <c r="D6" s="322"/>
      <c r="E6" s="322"/>
    </row>
    <row r="7" spans="2:5" ht="33" customHeight="1" x14ac:dyDescent="0.2">
      <c r="B7" s="309" t="s">
        <v>299</v>
      </c>
      <c r="C7" s="310"/>
      <c r="D7" s="310"/>
      <c r="E7" s="311"/>
    </row>
    <row r="8" spans="2:5" ht="33" customHeight="1" x14ac:dyDescent="0.2">
      <c r="B8" s="312"/>
      <c r="C8" s="297"/>
      <c r="D8" s="297"/>
      <c r="E8" s="313"/>
    </row>
    <row r="9" spans="2:5" ht="33" customHeight="1" x14ac:dyDescent="0.2">
      <c r="B9" s="312"/>
      <c r="C9" s="297"/>
      <c r="D9" s="297"/>
      <c r="E9" s="313"/>
    </row>
    <row r="10" spans="2:5" ht="33" customHeight="1" x14ac:dyDescent="0.2">
      <c r="B10" s="314"/>
      <c r="C10" s="308"/>
      <c r="D10" s="308"/>
      <c r="E10" s="315"/>
    </row>
    <row r="11" spans="2:5" ht="12.75" customHeight="1" x14ac:dyDescent="0.2">
      <c r="B11" s="152"/>
      <c r="C11" s="152"/>
    </row>
    <row r="12" spans="2:5" ht="15.75" x14ac:dyDescent="0.2">
      <c r="B12" s="322" t="s">
        <v>300</v>
      </c>
      <c r="C12" s="322"/>
      <c r="D12" s="322"/>
      <c r="E12" s="322"/>
    </row>
    <row r="13" spans="2:5" ht="25.5" customHeight="1" x14ac:dyDescent="0.2">
      <c r="B13" s="195" t="s">
        <v>301</v>
      </c>
      <c r="C13" s="316" t="s">
        <v>400</v>
      </c>
      <c r="D13" s="317"/>
      <c r="E13" s="318"/>
    </row>
    <row r="14" spans="2:5" ht="25.5" customHeight="1" x14ac:dyDescent="0.2">
      <c r="B14" s="155" t="s">
        <v>302</v>
      </c>
      <c r="C14" s="299" t="s">
        <v>278</v>
      </c>
      <c r="D14" s="300"/>
      <c r="E14" s="301"/>
    </row>
    <row r="15" spans="2:5" ht="12.75" customHeight="1" x14ac:dyDescent="0.2"/>
    <row r="16" spans="2:5" ht="15.75" customHeight="1" x14ac:dyDescent="0.25">
      <c r="B16" s="302" t="s">
        <v>303</v>
      </c>
      <c r="C16" s="303"/>
      <c r="D16" s="303"/>
      <c r="E16" s="304"/>
    </row>
    <row r="17" spans="2:5" ht="25.5" customHeight="1" x14ac:dyDescent="0.2">
      <c r="B17" s="156" t="s">
        <v>304</v>
      </c>
      <c r="C17" s="298" t="s">
        <v>277</v>
      </c>
      <c r="D17" s="298"/>
      <c r="E17" s="298"/>
    </row>
    <row r="18" spans="2:5" ht="25.5" customHeight="1" x14ac:dyDescent="0.2">
      <c r="B18" s="157" t="s">
        <v>305</v>
      </c>
      <c r="C18" s="298" t="s">
        <v>309</v>
      </c>
      <c r="D18" s="298"/>
      <c r="E18" s="298"/>
    </row>
    <row r="19" spans="2:5" s="151" customFormat="1" ht="25.5" customHeight="1" x14ac:dyDescent="0.2">
      <c r="B19" s="157" t="s">
        <v>306</v>
      </c>
      <c r="C19" s="305" t="s">
        <v>310</v>
      </c>
      <c r="D19" s="306"/>
      <c r="E19" s="307"/>
    </row>
    <row r="20" spans="2:5" ht="25.5" customHeight="1" x14ac:dyDescent="0.2">
      <c r="B20" s="158" t="s">
        <v>397</v>
      </c>
      <c r="C20" s="298" t="s">
        <v>311</v>
      </c>
      <c r="D20" s="298"/>
      <c r="E20" s="298"/>
    </row>
    <row r="21" spans="2:5" ht="25.5" customHeight="1" x14ac:dyDescent="0.2">
      <c r="B21" s="158" t="s">
        <v>279</v>
      </c>
      <c r="C21" s="298" t="s">
        <v>312</v>
      </c>
      <c r="D21" s="298"/>
      <c r="E21" s="298"/>
    </row>
    <row r="22" spans="2:5" ht="25.5" customHeight="1" x14ac:dyDescent="0.2">
      <c r="B22" s="156" t="s">
        <v>307</v>
      </c>
      <c r="C22" s="298" t="s">
        <v>0</v>
      </c>
      <c r="D22" s="298"/>
      <c r="E22" s="298"/>
    </row>
    <row r="23" spans="2:5" ht="12.75" customHeight="1" x14ac:dyDescent="0.2"/>
    <row r="24" spans="2:5" ht="15.75" customHeight="1" x14ac:dyDescent="0.25">
      <c r="B24" s="302" t="s">
        <v>308</v>
      </c>
      <c r="C24" s="303"/>
      <c r="D24" s="303"/>
      <c r="E24" s="304"/>
    </row>
    <row r="25" spans="2:5" ht="218.25" customHeight="1" x14ac:dyDescent="0.2">
      <c r="B25" s="298" t="s">
        <v>502</v>
      </c>
      <c r="C25" s="298"/>
      <c r="D25" s="298"/>
      <c r="E25" s="298"/>
    </row>
    <row r="26" spans="2:5" ht="195" customHeight="1" x14ac:dyDescent="0.2">
      <c r="B26" s="298" t="s">
        <v>498</v>
      </c>
      <c r="C26" s="298"/>
      <c r="D26" s="298"/>
      <c r="E26" s="298"/>
    </row>
    <row r="27" spans="2:5" x14ac:dyDescent="0.2">
      <c r="B27" s="153"/>
      <c r="C27" s="153"/>
      <c r="D27" s="153"/>
      <c r="E27" s="153"/>
    </row>
    <row r="28" spans="2:5" x14ac:dyDescent="0.2">
      <c r="B28" s="150" t="s">
        <v>401</v>
      </c>
    </row>
    <row r="29" spans="2:5" x14ac:dyDescent="0.2">
      <c r="B29" s="150" t="str">
        <f>Application!B42</f>
        <v>Version 4.0</v>
      </c>
    </row>
    <row r="31" spans="2:5" s="151" customFormat="1" ht="65.25" customHeight="1" x14ac:dyDescent="0.2">
      <c r="B31" s="297" t="s">
        <v>501</v>
      </c>
      <c r="C31" s="297"/>
      <c r="D31" s="297"/>
      <c r="E31" s="150"/>
    </row>
    <row r="32" spans="2:5" ht="42.75" customHeight="1" x14ac:dyDescent="0.2"/>
    <row r="33" ht="31.5" customHeight="1" x14ac:dyDescent="0.2"/>
    <row r="34" ht="42" customHeight="1" x14ac:dyDescent="0.2"/>
    <row r="35" ht="30" customHeight="1" x14ac:dyDescent="0.2"/>
    <row r="36" ht="132.75" customHeight="1" x14ac:dyDescent="0.2"/>
    <row r="37" ht="31.5" customHeight="1" x14ac:dyDescent="0.2"/>
    <row r="38" ht="42" customHeight="1" x14ac:dyDescent="0.2"/>
  </sheetData>
  <sheetProtection algorithmName="SHA-512" hashValue="JhJb5+QKUCfmUu8YgtjYzJxtWnI7CWTQsn63M2WfMh4L435dafBalC5hVL0B23j9DUbLdkIf677e05TX5yChVQ==" saltValue="scD2C9evsvZXBxNUTr+oWQ==" spinCount="100000" sheet="1" objects="1" scenarios="1"/>
  <mergeCells count="20">
    <mergeCell ref="B5:E5"/>
    <mergeCell ref="B7:E10"/>
    <mergeCell ref="C13:E13"/>
    <mergeCell ref="B2:E2"/>
    <mergeCell ref="B1:E1"/>
    <mergeCell ref="B4:E4"/>
    <mergeCell ref="B6:E6"/>
    <mergeCell ref="B12:E12"/>
    <mergeCell ref="B31:D31"/>
    <mergeCell ref="C21:E21"/>
    <mergeCell ref="B26:E26"/>
    <mergeCell ref="C14:E14"/>
    <mergeCell ref="C18:E18"/>
    <mergeCell ref="B24:E24"/>
    <mergeCell ref="C22:E22"/>
    <mergeCell ref="C17:E17"/>
    <mergeCell ref="C19:E19"/>
    <mergeCell ref="C20:E20"/>
    <mergeCell ref="B25:E25"/>
    <mergeCell ref="B16:E16"/>
  </mergeCells>
  <pageMargins left="0.25" right="0.25"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2"/>
  <sheetViews>
    <sheetView workbookViewId="0">
      <selection activeCell="C5" sqref="C5"/>
    </sheetView>
  </sheetViews>
  <sheetFormatPr defaultRowHeight="12.75" x14ac:dyDescent="0.2"/>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x14ac:dyDescent="0.25">
      <c r="A1" s="385" t="s">
        <v>152</v>
      </c>
      <c r="B1" s="385"/>
      <c r="L1" s="385" t="s">
        <v>153</v>
      </c>
      <c r="M1" s="385"/>
    </row>
    <row r="2" spans="1:15" s="6" customFormat="1" ht="26.25" thickTop="1" x14ac:dyDescent="0.2">
      <c r="A2" s="47" t="s">
        <v>154</v>
      </c>
      <c r="B2" s="47" t="s">
        <v>26</v>
      </c>
      <c r="C2" s="47" t="s">
        <v>155</v>
      </c>
      <c r="D2" s="47" t="s">
        <v>156</v>
      </c>
      <c r="E2" s="47" t="s">
        <v>157</v>
      </c>
      <c r="F2" s="47" t="s">
        <v>158</v>
      </c>
      <c r="G2" s="47" t="s">
        <v>159</v>
      </c>
      <c r="H2" s="47" t="s">
        <v>160</v>
      </c>
      <c r="I2" s="47" t="s">
        <v>161</v>
      </c>
      <c r="J2" s="47" t="s">
        <v>162</v>
      </c>
      <c r="L2" t="s">
        <v>163</v>
      </c>
      <c r="M2" t="s">
        <v>164</v>
      </c>
      <c r="N2" t="s">
        <v>165</v>
      </c>
      <c r="O2" t="s">
        <v>166</v>
      </c>
    </row>
    <row r="3" spans="1:15" x14ac:dyDescent="0.2">
      <c r="A3" t="s">
        <v>61</v>
      </c>
      <c r="B3" t="s">
        <v>271</v>
      </c>
      <c r="C3" s="95">
        <f>'A-C &amp; Heat Pumps'!R4</f>
        <v>0</v>
      </c>
      <c r="D3" s="93">
        <f>'A-C &amp; Heat Pumps'!S4</f>
        <v>0</v>
      </c>
      <c r="E3" s="94">
        <f>'A-C &amp; Heat Pumps'!T4</f>
        <v>0</v>
      </c>
      <c r="F3" s="95">
        <f>'A-C &amp; Heat Pumps'!U4</f>
        <v>0</v>
      </c>
      <c r="G3" s="95">
        <f>'A-C &amp; Heat Pumps'!V4</f>
        <v>0</v>
      </c>
      <c r="H3" s="95">
        <f>'A-C &amp; Heat Pumps'!W4</f>
        <v>0</v>
      </c>
      <c r="I3" s="49" t="e">
        <f>Table_Measure_Caps[[#This Row],[Estimated Raw Incentive Total]]/Table_Measure_Caps[[#This Row],[Gross Measure Cost Total]]</f>
        <v>#DIV/0!</v>
      </c>
      <c r="J3" s="48" t="e">
        <f>Table_Measure_Caps[[#This Row],[Estimated Raw Incentive Total]]*MIN(Table_Measure_Caps[[#Totals],[Estimated Raw Incentive Total]], Table_Measure_Caps[[#Totals],[Gross Measure Cost Total]], Value_Project_CAP)/Table_Measure_Caps[[#Totals],[Estimated Raw Incentive Total]]</f>
        <v>#DIV/0!</v>
      </c>
      <c r="K3" s="48"/>
      <c r="L3" s="61"/>
      <c r="M3" s="27"/>
      <c r="N3" s="27"/>
      <c r="O3" s="27"/>
    </row>
    <row r="4" spans="1:15" x14ac:dyDescent="0.2">
      <c r="A4" t="s">
        <v>61</v>
      </c>
      <c r="B4" t="s">
        <v>272</v>
      </c>
      <c r="C4" s="95">
        <f>Chillers!N4</f>
        <v>0</v>
      </c>
      <c r="D4" s="95">
        <f>Chillers!O4</f>
        <v>0</v>
      </c>
      <c r="E4" s="95">
        <f>Chillers!P4</f>
        <v>0</v>
      </c>
      <c r="F4" s="95">
        <f>Chillers!Q4</f>
        <v>0</v>
      </c>
      <c r="G4" s="95">
        <f>Chillers!R4</f>
        <v>0</v>
      </c>
      <c r="H4" s="95">
        <f>Chillers!S4</f>
        <v>0</v>
      </c>
      <c r="I4" s="49" t="e">
        <f>Table_Measure_Caps[[#This Row],[Estimated Raw Incentive Total]]/Table_Measure_Caps[[#This Row],[Gross Measure Cost Total]]</f>
        <v>#DIV/0!</v>
      </c>
      <c r="J4" s="48" t="e">
        <f>Table_Measure_Caps[[#This Row],[Estimated Raw Incentive Total]]*MIN(Table_Measure_Caps[[#Totals],[Estimated Raw Incentive Total]], Table_Measure_Caps[[#Totals],[Gross Measure Cost Total]], Value_Project_CAP)/Table_Measure_Caps[[#Totals],[Estimated Raw Incentive Total]]</f>
        <v>#DIV/0!</v>
      </c>
      <c r="K4" s="48"/>
    </row>
    <row r="5" spans="1:15" x14ac:dyDescent="0.2">
      <c r="A5" t="s">
        <v>29</v>
      </c>
      <c r="C5" s="95">
        <f>MIN(Value_Measure_CAP,SUBTOTAL(109,Table_Measure_Caps[Estimated Raw Incentive Total]))</f>
        <v>0</v>
      </c>
      <c r="D5" s="93">
        <f>SUBTOTAL(109,Table_Measure_Caps[Energy Savings Total (kWh)])</f>
        <v>0</v>
      </c>
      <c r="E5" s="94">
        <f>SUBTOTAL(109,Table_Measure_Caps[Demand Reduction Total (kW)])</f>
        <v>0</v>
      </c>
      <c r="F5" s="95">
        <f>SUBTOTAL(109,Table_Measure_Caps[Cost Savings Total])</f>
        <v>0</v>
      </c>
      <c r="G5" s="95">
        <f>SUBTOTAL(109,Table_Measure_Caps[Gross Measure Cost Total])</f>
        <v>0</v>
      </c>
      <c r="H5" s="95">
        <f>SUBTOTAL(109,Table_Measure_Caps[Net Measure Cost Total])</f>
        <v>0</v>
      </c>
      <c r="I5" s="96" t="e">
        <f>Table_Measure_Caps[[#Totals],[Estimated Raw Incentive Total]]/Table_Measure_Caps[[#Totals],[Gross Measure Cost Total]]</f>
        <v>#DIV/0!</v>
      </c>
      <c r="J5" s="48" t="e">
        <f>SUBTOTAL(109,Table_Measure_Caps[Capped Incentive])</f>
        <v>#DIV/0!</v>
      </c>
    </row>
    <row r="9" spans="1:15" x14ac:dyDescent="0.2">
      <c r="G9" s="27"/>
      <c r="H9" s="27"/>
    </row>
    <row r="12" spans="1:15" x14ac:dyDescent="0.2">
      <c r="E12" s="27"/>
    </row>
  </sheetData>
  <mergeCells count="2">
    <mergeCell ref="A1:B1"/>
    <mergeCell ref="L1:M1"/>
  </mergeCells>
  <pageMargins left="0.7" right="0.7" top="0.75" bottom="0.75" header="0.3" footer="0.3"/>
  <tableParts count="2">
    <tablePart r:id="rId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G27"/>
  <sheetViews>
    <sheetView workbookViewId="0">
      <selection activeCell="B1" sqref="B1"/>
    </sheetView>
  </sheetViews>
  <sheetFormatPr defaultRowHeight="12.75" x14ac:dyDescent="0.2"/>
  <cols>
    <col min="1" max="1" width="54.140625" customWidth="1"/>
    <col min="2" max="2" width="34.42578125" style="3" customWidth="1"/>
    <col min="3" max="3" width="29.140625" style="3" customWidth="1"/>
    <col min="4" max="4" width="11.28515625" customWidth="1"/>
    <col min="6" max="6" width="22.28515625" bestFit="1" customWidth="1"/>
    <col min="7" max="7" width="7" bestFit="1" customWidth="1"/>
  </cols>
  <sheetData>
    <row r="1" spans="1:5" ht="15" x14ac:dyDescent="0.25">
      <c r="A1" s="5" t="s">
        <v>168</v>
      </c>
      <c r="B1" s="12"/>
      <c r="E1" s="11" t="s">
        <v>169</v>
      </c>
    </row>
    <row r="2" spans="1:5" ht="15" x14ac:dyDescent="0.25">
      <c r="A2" s="5" t="s">
        <v>170</v>
      </c>
      <c r="B2" s="13"/>
      <c r="E2" s="11"/>
    </row>
    <row r="3" spans="1:5" ht="15" x14ac:dyDescent="0.25">
      <c r="A3" s="5" t="s">
        <v>171</v>
      </c>
      <c r="B3" s="122" t="str">
        <f>IFERROR(Table16[[#Totals],[Energy savings (kWh)]]/Input_Usage,"")</f>
        <v/>
      </c>
      <c r="E3" s="11"/>
    </row>
    <row r="5" spans="1:5" x14ac:dyDescent="0.2">
      <c r="A5" t="s">
        <v>172</v>
      </c>
      <c r="B5" s="2" t="s">
        <v>173</v>
      </c>
      <c r="C5" s="2" t="s">
        <v>174</v>
      </c>
    </row>
    <row r="6" spans="1:5" x14ac:dyDescent="0.2">
      <c r="A6" s="15" t="s">
        <v>175</v>
      </c>
      <c r="B6" s="10"/>
      <c r="C6" s="10"/>
    </row>
    <row r="7" spans="1:5" x14ac:dyDescent="0.2">
      <c r="A7" s="15" t="s">
        <v>176</v>
      </c>
      <c r="B7" s="10"/>
      <c r="C7" s="10"/>
    </row>
    <row r="8" spans="1:5" x14ac:dyDescent="0.2">
      <c r="A8" s="15" t="s">
        <v>177</v>
      </c>
      <c r="B8" s="10"/>
      <c r="C8" s="10"/>
    </row>
    <row r="9" spans="1:5" x14ac:dyDescent="0.2">
      <c r="A9" s="15" t="s">
        <v>178</v>
      </c>
      <c r="B9" s="14"/>
      <c r="C9" s="14"/>
    </row>
    <row r="10" spans="1:5" x14ac:dyDescent="0.2">
      <c r="A10" s="15" t="s">
        <v>179</v>
      </c>
      <c r="B10" s="14"/>
      <c r="C10" s="14"/>
    </row>
    <row r="11" spans="1:5" x14ac:dyDescent="0.2">
      <c r="A11" s="15" t="s">
        <v>180</v>
      </c>
      <c r="B11" s="14"/>
      <c r="C11" s="14"/>
    </row>
    <row r="12" spans="1:5" x14ac:dyDescent="0.2">
      <c r="A12" s="15" t="s">
        <v>181</v>
      </c>
      <c r="B12" s="14"/>
      <c r="C12" s="14"/>
    </row>
    <row r="13" spans="1:5" x14ac:dyDescent="0.2">
      <c r="A13" s="15" t="s">
        <v>182</v>
      </c>
      <c r="B13" s="14"/>
      <c r="C13" s="14"/>
    </row>
    <row r="14" spans="1:5" x14ac:dyDescent="0.2">
      <c r="A14" s="15" t="s">
        <v>183</v>
      </c>
      <c r="B14" s="14"/>
      <c r="C14" s="14"/>
    </row>
    <row r="15" spans="1:5" x14ac:dyDescent="0.2">
      <c r="A15" s="15" t="s">
        <v>184</v>
      </c>
      <c r="B15" s="14"/>
      <c r="C15" s="14"/>
    </row>
    <row r="16" spans="1:5" x14ac:dyDescent="0.2">
      <c r="A16" s="3"/>
      <c r="B16" s="18"/>
      <c r="C16" s="18"/>
    </row>
    <row r="17" spans="1:7" ht="15" x14ac:dyDescent="0.2">
      <c r="A17" s="19" t="s">
        <v>185</v>
      </c>
      <c r="B17" s="19" t="s">
        <v>186</v>
      </c>
      <c r="C17" s="20" t="s">
        <v>151</v>
      </c>
      <c r="D17" s="20" t="s">
        <v>29</v>
      </c>
    </row>
    <row r="18" spans="1:7" x14ac:dyDescent="0.2">
      <c r="A18" s="17" t="s">
        <v>187</v>
      </c>
      <c r="B18" s="21" t="e">
        <f>SUM(Summary!E27,Summary!E28)</f>
        <v>#DIV/0!</v>
      </c>
      <c r="C18" s="21"/>
      <c r="D18" s="21" t="e">
        <f>SUM(B18:C18)</f>
        <v>#DIV/0!</v>
      </c>
      <c r="F18" s="121"/>
      <c r="G18" s="121"/>
    </row>
    <row r="19" spans="1:7" x14ac:dyDescent="0.2">
      <c r="A19" s="17" t="s">
        <v>188</v>
      </c>
      <c r="B19" s="21">
        <f>SUM(Summary!D27,Summary!D28)</f>
        <v>0</v>
      </c>
      <c r="C19" s="21"/>
      <c r="D19" s="21">
        <f>SUM(B19:C19)</f>
        <v>0</v>
      </c>
    </row>
    <row r="20" spans="1:7" x14ac:dyDescent="0.2">
      <c r="A20" s="4" t="s">
        <v>189</v>
      </c>
      <c r="B20" s="16" t="e">
        <f>B$18/Value_Project_CAP</f>
        <v>#DIV/0!</v>
      </c>
      <c r="C20" s="16"/>
      <c r="D20" s="16" t="e">
        <f>D$18/Value_Project_CAP</f>
        <v>#DIV/0!</v>
      </c>
    </row>
    <row r="21" spans="1:7" x14ac:dyDescent="0.2">
      <c r="A21" s="17" t="s">
        <v>190</v>
      </c>
      <c r="B21" s="16" t="e">
        <f>B$18/B$19</f>
        <v>#DIV/0!</v>
      </c>
      <c r="C21" s="16"/>
      <c r="D21" s="16" t="e">
        <f>D$18/D$19</f>
        <v>#DIV/0!</v>
      </c>
    </row>
    <row r="23" spans="1:7" ht="15" x14ac:dyDescent="0.2">
      <c r="A23" s="19" t="s">
        <v>191</v>
      </c>
      <c r="B23" s="19" t="s">
        <v>186</v>
      </c>
    </row>
    <row r="24" spans="1:7" x14ac:dyDescent="0.2">
      <c r="A24" s="17" t="s">
        <v>192</v>
      </c>
      <c r="B24" s="21" t="b">
        <f>Table16[[#Totals],[Energy savings (kWh)]]=SUM('APTracks Export Data'!G3:G102)</f>
        <v>1</v>
      </c>
    </row>
    <row r="25" spans="1:7" x14ac:dyDescent="0.2">
      <c r="A25" s="17" t="s">
        <v>193</v>
      </c>
      <c r="B25" s="21" t="e">
        <f>Table15[[#Totals],[Estimated incentive]]=SUM('APTracks Export Data'!I:I)</f>
        <v>#DIV/0!</v>
      </c>
    </row>
    <row r="26" spans="1:7" x14ac:dyDescent="0.2">
      <c r="A26" s="4" t="s">
        <v>194</v>
      </c>
      <c r="B26" s="16" t="b">
        <f>Table15[[#Totals],[Gross project cost]]=SUM('APTracks Export Data'!J3:J102)</f>
        <v>1</v>
      </c>
    </row>
    <row r="27" spans="1:7" x14ac:dyDescent="0.2">
      <c r="A27" s="4" t="s">
        <v>195</v>
      </c>
      <c r="B27" s="16"/>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A2" sqref="A2"/>
    </sheetView>
  </sheetViews>
  <sheetFormatPr defaultRowHeight="12.75" x14ac:dyDescent="0.2"/>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x14ac:dyDescent="0.25"/>
    <row r="2" spans="1:18" ht="14.25" thickTop="1" thickBot="1" x14ac:dyDescent="0.25">
      <c r="A2" s="42" t="s">
        <v>196</v>
      </c>
    </row>
    <row r="3" spans="1:18" ht="13.5" thickTop="1" x14ac:dyDescent="0.2">
      <c r="A3" t="s">
        <v>197</v>
      </c>
      <c r="B3" t="s">
        <v>6</v>
      </c>
      <c r="C3" t="s">
        <v>198</v>
      </c>
      <c r="D3" t="s">
        <v>199</v>
      </c>
      <c r="E3" t="s">
        <v>1</v>
      </c>
      <c r="F3" t="s">
        <v>2</v>
      </c>
      <c r="G3" t="s">
        <v>200</v>
      </c>
      <c r="H3" t="s">
        <v>201</v>
      </c>
      <c r="I3" t="s">
        <v>202</v>
      </c>
      <c r="J3" t="s">
        <v>203</v>
      </c>
      <c r="K3" t="s">
        <v>204</v>
      </c>
      <c r="L3" t="s">
        <v>205</v>
      </c>
      <c r="M3" t="s">
        <v>206</v>
      </c>
      <c r="N3" t="s">
        <v>16</v>
      </c>
      <c r="O3" t="s">
        <v>32</v>
      </c>
      <c r="P3" t="s">
        <v>207</v>
      </c>
      <c r="Q3" t="s">
        <v>18</v>
      </c>
      <c r="R3" t="s">
        <v>20</v>
      </c>
    </row>
    <row r="4" spans="1:18" x14ac:dyDescent="0.2">
      <c r="A4" s="45" t="s">
        <v>19</v>
      </c>
      <c r="B4">
        <f>Application!$C$5</f>
        <v>0</v>
      </c>
      <c r="C4">
        <f>Application!$C$6</f>
        <v>0</v>
      </c>
      <c r="D4">
        <f>Application!$C$7</f>
        <v>0</v>
      </c>
      <c r="E4">
        <f>Application!$C$8</f>
        <v>0</v>
      </c>
      <c r="F4">
        <f>Application!$C$9</f>
        <v>0</v>
      </c>
      <c r="G4">
        <f>Application!$C$10</f>
        <v>0</v>
      </c>
      <c r="H4">
        <f>Application!$C$11</f>
        <v>0</v>
      </c>
      <c r="I4">
        <f>Application!$C$12</f>
        <v>0</v>
      </c>
      <c r="J4">
        <f>Application!$C$13</f>
        <v>0</v>
      </c>
      <c r="K4">
        <f>Application!$C$14</f>
        <v>0</v>
      </c>
      <c r="L4">
        <f>Application!$C$15</f>
        <v>0</v>
      </c>
      <c r="M4" t="s">
        <v>208</v>
      </c>
      <c r="N4" t="str">
        <f>Table_Contacts[[#This Row],[Entity]]</f>
        <v>Customer</v>
      </c>
      <c r="O4" t="s">
        <v>208</v>
      </c>
      <c r="P4" t="s">
        <v>208</v>
      </c>
      <c r="Q4" t="s">
        <v>208</v>
      </c>
      <c r="R4" t="s">
        <v>208</v>
      </c>
    </row>
    <row r="5" spans="1:18" x14ac:dyDescent="0.2">
      <c r="A5" s="45" t="s">
        <v>79</v>
      </c>
      <c r="B5">
        <f>Application!$C$17</f>
        <v>0</v>
      </c>
      <c r="C5">
        <f>Application!$C$18</f>
        <v>0</v>
      </c>
      <c r="D5">
        <f>Application!$C$19</f>
        <v>0</v>
      </c>
      <c r="E5">
        <f>Application!$C$20</f>
        <v>0</v>
      </c>
      <c r="F5">
        <f>Application!$C$21</f>
        <v>0</v>
      </c>
      <c r="G5">
        <f>Application!$C$22</f>
        <v>0</v>
      </c>
      <c r="H5">
        <f>Application!$C$23</f>
        <v>0</v>
      </c>
      <c r="I5">
        <f>Application!$C$24</f>
        <v>0</v>
      </c>
      <c r="J5" t="s">
        <v>208</v>
      </c>
      <c r="K5" t="s">
        <v>208</v>
      </c>
      <c r="L5" t="s">
        <v>208</v>
      </c>
      <c r="M5">
        <f>Application!$C$25</f>
        <v>0</v>
      </c>
      <c r="N5" t="str">
        <f>Table_Contacts[[#This Row],[Entity]]</f>
        <v>Trade Ally/Contractor</v>
      </c>
      <c r="O5" t="s">
        <v>208</v>
      </c>
      <c r="P5" t="s">
        <v>208</v>
      </c>
      <c r="Q5" t="s">
        <v>208</v>
      </c>
      <c r="R5" t="s">
        <v>208</v>
      </c>
    </row>
    <row r="6" spans="1:18" x14ac:dyDescent="0.2">
      <c r="A6" s="45" t="s">
        <v>28</v>
      </c>
      <c r="B6">
        <f>Application!$C$27</f>
        <v>0</v>
      </c>
      <c r="C6">
        <f>Application!$C$28</f>
        <v>0</v>
      </c>
      <c r="D6">
        <f>Application!$C$29</f>
        <v>0</v>
      </c>
      <c r="E6">
        <f>Application!$C$30</f>
        <v>0</v>
      </c>
      <c r="F6">
        <f>Application!$C$31</f>
        <v>0</v>
      </c>
      <c r="G6">
        <f>Application!$C$32</f>
        <v>0</v>
      </c>
      <c r="H6">
        <f>Application!$C$33</f>
        <v>0</v>
      </c>
      <c r="I6">
        <f>Application!$C$34</f>
        <v>0</v>
      </c>
      <c r="J6" t="s">
        <v>208</v>
      </c>
      <c r="K6" t="s">
        <v>208</v>
      </c>
      <c r="L6" t="s">
        <v>208</v>
      </c>
      <c r="M6" t="s">
        <v>208</v>
      </c>
      <c r="N6">
        <f>Application!$C$35</f>
        <v>0</v>
      </c>
      <c r="O6" t="s">
        <v>208</v>
      </c>
      <c r="P6" t="s">
        <v>208</v>
      </c>
      <c r="Q6" t="s">
        <v>208</v>
      </c>
      <c r="R6" t="s">
        <v>208</v>
      </c>
    </row>
    <row r="7" spans="1:18" x14ac:dyDescent="0.2">
      <c r="A7" s="45" t="s">
        <v>96</v>
      </c>
      <c r="B7">
        <f>Application!$F$15</f>
        <v>0</v>
      </c>
      <c r="C7">
        <f>Application!$F$16</f>
        <v>0</v>
      </c>
      <c r="D7">
        <f>Application!$F$17</f>
        <v>0</v>
      </c>
      <c r="E7">
        <f>Application!$F$18</f>
        <v>0</v>
      </c>
      <c r="F7">
        <f>Application!$F$19</f>
        <v>0</v>
      </c>
      <c r="G7">
        <f>Application!$F$20</f>
        <v>0</v>
      </c>
      <c r="H7">
        <f>Application!$F$21</f>
        <v>0</v>
      </c>
      <c r="I7">
        <f>Application!$F$22</f>
        <v>0</v>
      </c>
      <c r="J7" t="s">
        <v>208</v>
      </c>
      <c r="K7" t="s">
        <v>208</v>
      </c>
      <c r="L7" t="s">
        <v>208</v>
      </c>
      <c r="M7" t="s">
        <v>208</v>
      </c>
      <c r="N7" t="str">
        <f>Table_Contacts[[#This Row],[Entity]]</f>
        <v>Job Site</v>
      </c>
      <c r="O7" t="s">
        <v>208</v>
      </c>
      <c r="P7" t="s">
        <v>208</v>
      </c>
      <c r="Q7" t="s">
        <v>208</v>
      </c>
      <c r="R7" t="s">
        <v>208</v>
      </c>
    </row>
    <row r="8" spans="1:18" x14ac:dyDescent="0.2">
      <c r="A8" s="45" t="s">
        <v>209</v>
      </c>
      <c r="B8" t="e">
        <f>INDEX(Table_Contacts[Business Name], MATCH(Application!$C$37, Table_Contacts[Entity], 0))</f>
        <v>#N/A</v>
      </c>
      <c r="C8" t="e">
        <f>INDEX(Table_Contacts[Contact Name], MATCH(Application!$C$37, Table_Contacts[Entity], 0))</f>
        <v>#N/A</v>
      </c>
      <c r="D8" t="e">
        <f>INDEX(Table_Contacts[Street], MATCH(Application!$C$37, Table_Contacts[Entity], 0))</f>
        <v>#N/A</v>
      </c>
      <c r="E8" t="e">
        <f>INDEX(Table_Contacts[City], MATCH(Application!$C$37, Table_Contacts[Entity], 0))</f>
        <v>#N/A</v>
      </c>
      <c r="F8" t="e">
        <f>INDEX(Table_Contacts[State], MATCH(Application!$C$37, Table_Contacts[Entity], 0))</f>
        <v>#N/A</v>
      </c>
      <c r="G8" t="e">
        <f>INDEX(Table_Contacts[Zip], MATCH(Application!$C$37, Table_Contacts[Entity], 0))</f>
        <v>#N/A</v>
      </c>
      <c r="H8" t="e">
        <f>INDEX(Table_Contacts[Phone], MATCH(Application!$C$37, Table_Contacts[Entity], 0))</f>
        <v>#N/A</v>
      </c>
      <c r="I8" t="e">
        <f>INDEX(Table_Contacts[Email], MATCH(Application!$C$37, Table_Contacts[Entity], 0))</f>
        <v>#N/A</v>
      </c>
      <c r="J8" t="e">
        <f>INDEX(Table_Contacts[Classification], MATCH(Application!$C$37, Table_Contacts[Entity], 0))</f>
        <v>#N/A</v>
      </c>
      <c r="K8" t="s">
        <v>208</v>
      </c>
      <c r="L8" t="s">
        <v>208</v>
      </c>
      <c r="M8" t="s">
        <v>208</v>
      </c>
      <c r="N8" t="s">
        <v>208</v>
      </c>
      <c r="O8">
        <f>Application!F34</f>
        <v>0</v>
      </c>
      <c r="P8">
        <f>Application!F35</f>
        <v>0</v>
      </c>
      <c r="Q8">
        <f>Application!F36</f>
        <v>0</v>
      </c>
      <c r="R8">
        <f>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M212"/>
  <sheetViews>
    <sheetView workbookViewId="0">
      <selection activeCell="B2" sqref="B2"/>
    </sheetView>
  </sheetViews>
  <sheetFormatPr defaultColWidth="9.140625" defaultRowHeight="12.75" x14ac:dyDescent="0.2"/>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9" width="17.140625" style="35" customWidth="1"/>
    <col min="10" max="10" width="13" customWidth="1"/>
    <col min="11" max="11" width="19.28515625" customWidth="1"/>
    <col min="12" max="12" width="56" customWidth="1"/>
    <col min="13" max="13" width="12.28515625" style="35" customWidth="1"/>
  </cols>
  <sheetData>
    <row r="1" spans="1:13" ht="30" x14ac:dyDescent="0.25">
      <c r="A1" s="54" t="s">
        <v>210</v>
      </c>
      <c r="B1" s="55" t="s">
        <v>211</v>
      </c>
      <c r="C1" s="55" t="s">
        <v>212</v>
      </c>
      <c r="D1" s="55" t="s">
        <v>24</v>
      </c>
      <c r="E1" s="55" t="s">
        <v>25</v>
      </c>
      <c r="F1" s="55" t="s">
        <v>41</v>
      </c>
      <c r="G1" s="56" t="s">
        <v>213</v>
      </c>
      <c r="H1" s="55" t="s">
        <v>214</v>
      </c>
      <c r="I1" s="57" t="s">
        <v>187</v>
      </c>
      <c r="J1" s="55" t="s">
        <v>484</v>
      </c>
      <c r="K1" s="55" t="s">
        <v>215</v>
      </c>
      <c r="L1" s="58" t="s">
        <v>40</v>
      </c>
      <c r="M1" s="57" t="s">
        <v>216</v>
      </c>
    </row>
    <row r="2" spans="1:13" x14ac:dyDescent="0.2">
      <c r="A2" s="31"/>
      <c r="B2" s="30"/>
      <c r="C2" s="30"/>
      <c r="D2" s="30"/>
      <c r="E2" s="30"/>
      <c r="F2" s="30"/>
      <c r="G2" s="30"/>
      <c r="H2" s="87"/>
      <c r="I2" s="36"/>
      <c r="J2" s="30"/>
      <c r="K2" s="32"/>
      <c r="L2" s="52"/>
      <c r="M2" s="33"/>
    </row>
    <row r="3" spans="1:13" x14ac:dyDescent="0.2">
      <c r="A3" s="8" t="s">
        <v>61</v>
      </c>
      <c r="B3" s="7">
        <f t="shared" ref="B3:B104" si="0">Input_ProjectNumber</f>
        <v>0</v>
      </c>
      <c r="C3" s="7">
        <f>'A-C &amp; Heat Pumps'!B6</f>
        <v>1</v>
      </c>
      <c r="D3" s="7" t="str">
        <f>'A-C &amp; Heat Pumps'!C6</f>
        <v/>
      </c>
      <c r="E3" s="7" t="str">
        <f>'A-C &amp; Heat Pumps'!F6</f>
        <v/>
      </c>
      <c r="F3" s="7" t="str">
        <f>IF(ISNUMBER($D3)=TRUE,'A-C &amp; Heat Pumps'!G6,"")</f>
        <v/>
      </c>
      <c r="G3" s="7" t="str">
        <f>IF(ISNUMBER($D3)=TRUE,'A-C &amp; Heat Pumps'!S6,"")</f>
        <v/>
      </c>
      <c r="H3" s="88" t="str">
        <f>IF(ISNUMBER($D3)=TRUE,'A-C &amp; Heat Pumps'!T6,"")</f>
        <v/>
      </c>
      <c r="I3" s="37" t="str">
        <f>IFERROR(M3*MIN(Table_Measure_Caps[[#Totals],[Estimated Raw Incentive Total]], Table_Measure_Caps[[#Totals],[Gross Measure Cost Total]], Value_Project_CAP)/Table_Measure_Caps[[#Totals],[Estimated Raw Incentive Total]], "")</f>
        <v/>
      </c>
      <c r="J3" s="7" t="str">
        <f>IF(ISNUMBER($D3)=TRUE,'A-C &amp; Heat Pumps'!P6,"")</f>
        <v/>
      </c>
      <c r="K3" s="22" t="str">
        <f t="shared" ref="K3:K65" si="1">Value_Application_Version</f>
        <v>Version 4.0</v>
      </c>
      <c r="L3" s="53" t="str">
        <f>IF(ISNUMBER($D3)=TRUE,'A-C &amp; Heat Pumps'!E6,"")</f>
        <v/>
      </c>
      <c r="M3" s="34" t="str">
        <f>'A-C &amp; Heat Pumps'!R6</f>
        <v/>
      </c>
    </row>
    <row r="4" spans="1:13" x14ac:dyDescent="0.2">
      <c r="A4" s="8" t="s">
        <v>61</v>
      </c>
      <c r="B4" s="7">
        <f t="shared" si="0"/>
        <v>0</v>
      </c>
      <c r="C4" s="7">
        <f>'A-C &amp; Heat Pumps'!B7</f>
        <v>2</v>
      </c>
      <c r="D4" s="7" t="str">
        <f>'A-C &amp; Heat Pumps'!C7</f>
        <v/>
      </c>
      <c r="E4" s="7" t="str">
        <f>'A-C &amp; Heat Pumps'!F7</f>
        <v/>
      </c>
      <c r="F4" s="7" t="str">
        <f>IF(ISNUMBER($D4)=TRUE,'A-C &amp; Heat Pumps'!G7,"")</f>
        <v/>
      </c>
      <c r="G4" s="7" t="str">
        <f>IF(ISNUMBER($D4)=TRUE,'A-C &amp; Heat Pumps'!S7,"")</f>
        <v/>
      </c>
      <c r="H4" s="88" t="str">
        <f>IF(ISNUMBER($D4)=TRUE,'A-C &amp; Heat Pumps'!T7,"")</f>
        <v/>
      </c>
      <c r="I4" s="37" t="str">
        <f>IFERROR(M4*MIN(Table_Measure_Caps[[#Totals],[Estimated Raw Incentive Total]], Table_Measure_Caps[[#Totals],[Gross Measure Cost Total]], Value_Project_CAP)/Table_Measure_Caps[[#Totals],[Estimated Raw Incentive Total]], "")</f>
        <v/>
      </c>
      <c r="J4" s="7" t="str">
        <f>IF(ISNUMBER($D4)=TRUE,'A-C &amp; Heat Pumps'!P7,"")</f>
        <v/>
      </c>
      <c r="K4" s="22" t="str">
        <f t="shared" si="1"/>
        <v>Version 4.0</v>
      </c>
      <c r="L4" s="53" t="str">
        <f>IF(ISNUMBER($D4)=TRUE,'A-C &amp; Heat Pumps'!E7,"")</f>
        <v/>
      </c>
      <c r="M4" s="34" t="str">
        <f>'A-C &amp; Heat Pumps'!R7</f>
        <v/>
      </c>
    </row>
    <row r="5" spans="1:13" x14ac:dyDescent="0.2">
      <c r="A5" s="8" t="s">
        <v>61</v>
      </c>
      <c r="B5" s="7">
        <f t="shared" si="0"/>
        <v>0</v>
      </c>
      <c r="C5" s="7">
        <f>'A-C &amp; Heat Pumps'!B8</f>
        <v>3</v>
      </c>
      <c r="D5" s="7" t="str">
        <f>'A-C &amp; Heat Pumps'!C8</f>
        <v/>
      </c>
      <c r="E5" s="7" t="str">
        <f>'A-C &amp; Heat Pumps'!F8</f>
        <v/>
      </c>
      <c r="F5" s="7" t="str">
        <f>IF(ISNUMBER($D5)=TRUE,'A-C &amp; Heat Pumps'!G8,"")</f>
        <v/>
      </c>
      <c r="G5" s="7" t="str">
        <f>IF(ISNUMBER($D5)=TRUE,'A-C &amp; Heat Pumps'!S8,"")</f>
        <v/>
      </c>
      <c r="H5" s="88" t="str">
        <f>IF(ISNUMBER($D5)=TRUE,'A-C &amp; Heat Pumps'!T8,"")</f>
        <v/>
      </c>
      <c r="I5" s="37" t="str">
        <f>IFERROR(M5*MIN(Table_Measure_Caps[[#Totals],[Estimated Raw Incentive Total]], Table_Measure_Caps[[#Totals],[Gross Measure Cost Total]], Value_Project_CAP)/Table_Measure_Caps[[#Totals],[Estimated Raw Incentive Total]], "")</f>
        <v/>
      </c>
      <c r="J5" s="7" t="str">
        <f>IF(ISNUMBER($D5)=TRUE,'A-C &amp; Heat Pumps'!P8,"")</f>
        <v/>
      </c>
      <c r="K5" s="22" t="str">
        <f t="shared" si="1"/>
        <v>Version 4.0</v>
      </c>
      <c r="L5" s="53" t="str">
        <f>IF(ISNUMBER($D5)=TRUE,'A-C &amp; Heat Pumps'!E8,"")</f>
        <v/>
      </c>
      <c r="M5" s="34" t="str">
        <f>'A-C &amp; Heat Pumps'!R8</f>
        <v/>
      </c>
    </row>
    <row r="6" spans="1:13" x14ac:dyDescent="0.2">
      <c r="A6" s="8" t="s">
        <v>61</v>
      </c>
      <c r="B6" s="7">
        <f t="shared" si="0"/>
        <v>0</v>
      </c>
      <c r="C6" s="7">
        <f>'A-C &amp; Heat Pumps'!B9</f>
        <v>4</v>
      </c>
      <c r="D6" s="7" t="str">
        <f>'A-C &amp; Heat Pumps'!C9</f>
        <v/>
      </c>
      <c r="E6" s="7" t="str">
        <f>'A-C &amp; Heat Pumps'!F9</f>
        <v/>
      </c>
      <c r="F6" s="7" t="str">
        <f>IF(ISNUMBER($D6)=TRUE,'A-C &amp; Heat Pumps'!G9,"")</f>
        <v/>
      </c>
      <c r="G6" s="7" t="str">
        <f>IF(ISNUMBER($D6)=TRUE,'A-C &amp; Heat Pumps'!S9,"")</f>
        <v/>
      </c>
      <c r="H6" s="88" t="str">
        <f>IF(ISNUMBER($D6)=TRUE,'A-C &amp; Heat Pumps'!T9,"")</f>
        <v/>
      </c>
      <c r="I6" s="37" t="str">
        <f>IFERROR(M6*MIN(Table_Measure_Caps[[#Totals],[Estimated Raw Incentive Total]], Table_Measure_Caps[[#Totals],[Gross Measure Cost Total]], Value_Project_CAP)/Table_Measure_Caps[[#Totals],[Estimated Raw Incentive Total]], "")</f>
        <v/>
      </c>
      <c r="J6" s="7" t="str">
        <f>IF(ISNUMBER($D6)=TRUE,'A-C &amp; Heat Pumps'!P9,"")</f>
        <v/>
      </c>
      <c r="K6" s="22" t="str">
        <f t="shared" si="1"/>
        <v>Version 4.0</v>
      </c>
      <c r="L6" s="53" t="str">
        <f>IF(ISNUMBER($D6)=TRUE,'A-C &amp; Heat Pumps'!E9,"")</f>
        <v/>
      </c>
      <c r="M6" s="34" t="str">
        <f>'A-C &amp; Heat Pumps'!R9</f>
        <v/>
      </c>
    </row>
    <row r="7" spans="1:13" x14ac:dyDescent="0.2">
      <c r="A7" s="8" t="s">
        <v>61</v>
      </c>
      <c r="B7" s="7">
        <f t="shared" si="0"/>
        <v>0</v>
      </c>
      <c r="C7" s="7">
        <f>'A-C &amp; Heat Pumps'!B10</f>
        <v>5</v>
      </c>
      <c r="D7" s="7" t="str">
        <f>'A-C &amp; Heat Pumps'!C10</f>
        <v/>
      </c>
      <c r="E7" s="7" t="str">
        <f>'A-C &amp; Heat Pumps'!F10</f>
        <v/>
      </c>
      <c r="F7" s="7" t="str">
        <f>IF(ISNUMBER($D7)=TRUE,'A-C &amp; Heat Pumps'!G10,"")</f>
        <v/>
      </c>
      <c r="G7" s="7" t="str">
        <f>IF(ISNUMBER($D7)=TRUE,'A-C &amp; Heat Pumps'!S10,"")</f>
        <v/>
      </c>
      <c r="H7" s="88" t="str">
        <f>IF(ISNUMBER($D7)=TRUE,'A-C &amp; Heat Pumps'!T10,"")</f>
        <v/>
      </c>
      <c r="I7" s="37" t="str">
        <f>IFERROR(M7*MIN(Table_Measure_Caps[[#Totals],[Estimated Raw Incentive Total]], Table_Measure_Caps[[#Totals],[Gross Measure Cost Total]], Value_Project_CAP)/Table_Measure_Caps[[#Totals],[Estimated Raw Incentive Total]], "")</f>
        <v/>
      </c>
      <c r="J7" s="7" t="str">
        <f>IF(ISNUMBER($D7)=TRUE,'A-C &amp; Heat Pumps'!P10,"")</f>
        <v/>
      </c>
      <c r="K7" s="22" t="str">
        <f t="shared" si="1"/>
        <v>Version 4.0</v>
      </c>
      <c r="L7" s="53" t="str">
        <f>IF(ISNUMBER($D7)=TRUE,'A-C &amp; Heat Pumps'!E10,"")</f>
        <v/>
      </c>
      <c r="M7" s="34" t="str">
        <f>'A-C &amp; Heat Pumps'!R10</f>
        <v/>
      </c>
    </row>
    <row r="8" spans="1:13" x14ac:dyDescent="0.2">
      <c r="A8" s="8" t="s">
        <v>61</v>
      </c>
      <c r="B8" s="7">
        <f t="shared" si="0"/>
        <v>0</v>
      </c>
      <c r="C8" s="7">
        <f>'A-C &amp; Heat Pumps'!B11</f>
        <v>6</v>
      </c>
      <c r="D8" s="7" t="str">
        <f>'A-C &amp; Heat Pumps'!C11</f>
        <v/>
      </c>
      <c r="E8" s="7" t="str">
        <f>'A-C &amp; Heat Pumps'!F11</f>
        <v/>
      </c>
      <c r="F8" s="7" t="str">
        <f>IF(ISNUMBER($D8)=TRUE,'A-C &amp; Heat Pumps'!G11,"")</f>
        <v/>
      </c>
      <c r="G8" s="7" t="str">
        <f>IF(ISNUMBER($D8)=TRUE,'A-C &amp; Heat Pumps'!S11,"")</f>
        <v/>
      </c>
      <c r="H8" s="88" t="str">
        <f>IF(ISNUMBER($D8)=TRUE,'A-C &amp; Heat Pumps'!T11,"")</f>
        <v/>
      </c>
      <c r="I8" s="37" t="str">
        <f>IFERROR(M8*MIN(Table_Measure_Caps[[#Totals],[Estimated Raw Incentive Total]], Table_Measure_Caps[[#Totals],[Gross Measure Cost Total]], Value_Project_CAP)/Table_Measure_Caps[[#Totals],[Estimated Raw Incentive Total]], "")</f>
        <v/>
      </c>
      <c r="J8" s="7" t="str">
        <f>IF(ISNUMBER($D8)=TRUE,'A-C &amp; Heat Pumps'!P11,"")</f>
        <v/>
      </c>
      <c r="K8" s="22" t="str">
        <f t="shared" si="1"/>
        <v>Version 4.0</v>
      </c>
      <c r="L8" s="53" t="str">
        <f>IF(ISNUMBER($D8)=TRUE,'A-C &amp; Heat Pumps'!E11,"")</f>
        <v/>
      </c>
      <c r="M8" s="34" t="str">
        <f>'A-C &amp; Heat Pumps'!R11</f>
        <v/>
      </c>
    </row>
    <row r="9" spans="1:13" x14ac:dyDescent="0.2">
      <c r="A9" s="8" t="s">
        <v>61</v>
      </c>
      <c r="B9" s="7">
        <f t="shared" si="0"/>
        <v>0</v>
      </c>
      <c r="C9" s="7">
        <f>'A-C &amp; Heat Pumps'!B12</f>
        <v>7</v>
      </c>
      <c r="D9" s="7" t="str">
        <f>'A-C &amp; Heat Pumps'!C12</f>
        <v/>
      </c>
      <c r="E9" s="7" t="str">
        <f>'A-C &amp; Heat Pumps'!F12</f>
        <v/>
      </c>
      <c r="F9" s="7" t="str">
        <f>IF(ISNUMBER($D9)=TRUE,'A-C &amp; Heat Pumps'!G12,"")</f>
        <v/>
      </c>
      <c r="G9" s="7" t="str">
        <f>IF(ISNUMBER($D9)=TRUE,'A-C &amp; Heat Pumps'!S12,"")</f>
        <v/>
      </c>
      <c r="H9" s="88" t="str">
        <f>IF(ISNUMBER($D9)=TRUE,'A-C &amp; Heat Pumps'!T12,"")</f>
        <v/>
      </c>
      <c r="I9" s="37" t="str">
        <f>IFERROR(M9*MIN(Table_Measure_Caps[[#Totals],[Estimated Raw Incentive Total]], Table_Measure_Caps[[#Totals],[Gross Measure Cost Total]], Value_Project_CAP)/Table_Measure_Caps[[#Totals],[Estimated Raw Incentive Total]], "")</f>
        <v/>
      </c>
      <c r="J9" s="7" t="str">
        <f>IF(ISNUMBER($D9)=TRUE,'A-C &amp; Heat Pumps'!P12,"")</f>
        <v/>
      </c>
      <c r="K9" s="22" t="str">
        <f t="shared" si="1"/>
        <v>Version 4.0</v>
      </c>
      <c r="L9" s="53" t="str">
        <f>IF(ISNUMBER($D9)=TRUE,'A-C &amp; Heat Pumps'!E12,"")</f>
        <v/>
      </c>
      <c r="M9" s="34" t="str">
        <f>'A-C &amp; Heat Pumps'!R12</f>
        <v/>
      </c>
    </row>
    <row r="10" spans="1:13" x14ac:dyDescent="0.2">
      <c r="A10" s="8" t="s">
        <v>61</v>
      </c>
      <c r="B10" s="7">
        <f t="shared" si="0"/>
        <v>0</v>
      </c>
      <c r="C10" s="7">
        <f>'A-C &amp; Heat Pumps'!B13</f>
        <v>8</v>
      </c>
      <c r="D10" s="7" t="str">
        <f>'A-C &amp; Heat Pumps'!C13</f>
        <v/>
      </c>
      <c r="E10" s="7" t="str">
        <f>'A-C &amp; Heat Pumps'!F13</f>
        <v/>
      </c>
      <c r="F10" s="7" t="str">
        <f>IF(ISNUMBER($D10)=TRUE,'A-C &amp; Heat Pumps'!G13,"")</f>
        <v/>
      </c>
      <c r="G10" s="7" t="str">
        <f>IF(ISNUMBER($D10)=TRUE,'A-C &amp; Heat Pumps'!S13,"")</f>
        <v/>
      </c>
      <c r="H10" s="88" t="str">
        <f>IF(ISNUMBER($D10)=TRUE,'A-C &amp; Heat Pumps'!T13,"")</f>
        <v/>
      </c>
      <c r="I10" s="37" t="str">
        <f>IFERROR(M10*MIN(Table_Measure_Caps[[#Totals],[Estimated Raw Incentive Total]], Table_Measure_Caps[[#Totals],[Gross Measure Cost Total]], Value_Project_CAP)/Table_Measure_Caps[[#Totals],[Estimated Raw Incentive Total]], "")</f>
        <v/>
      </c>
      <c r="J10" s="7" t="str">
        <f>IF(ISNUMBER($D10)=TRUE,'A-C &amp; Heat Pumps'!P13,"")</f>
        <v/>
      </c>
      <c r="K10" s="22" t="str">
        <f t="shared" si="1"/>
        <v>Version 4.0</v>
      </c>
      <c r="L10" s="53" t="str">
        <f>IF(ISNUMBER($D10)=TRUE,'A-C &amp; Heat Pumps'!E13,"")</f>
        <v/>
      </c>
      <c r="M10" s="34" t="str">
        <f>'A-C &amp; Heat Pumps'!R13</f>
        <v/>
      </c>
    </row>
    <row r="11" spans="1:13" x14ac:dyDescent="0.2">
      <c r="A11" s="8" t="s">
        <v>61</v>
      </c>
      <c r="B11" s="7">
        <f t="shared" si="0"/>
        <v>0</v>
      </c>
      <c r="C11" s="7">
        <f>'A-C &amp; Heat Pumps'!B14</f>
        <v>9</v>
      </c>
      <c r="D11" s="7" t="str">
        <f>'A-C &amp; Heat Pumps'!C14</f>
        <v/>
      </c>
      <c r="E11" s="7" t="str">
        <f>'A-C &amp; Heat Pumps'!F14</f>
        <v/>
      </c>
      <c r="F11" s="7" t="str">
        <f>IF(ISNUMBER($D11)=TRUE,'A-C &amp; Heat Pumps'!G14,"")</f>
        <v/>
      </c>
      <c r="G11" s="7" t="str">
        <f>IF(ISNUMBER($D11)=TRUE,'A-C &amp; Heat Pumps'!S14,"")</f>
        <v/>
      </c>
      <c r="H11" s="88" t="str">
        <f>IF(ISNUMBER($D11)=TRUE,'A-C &amp; Heat Pumps'!T14,"")</f>
        <v/>
      </c>
      <c r="I11" s="37" t="str">
        <f>IFERROR(M11*MIN(Table_Measure_Caps[[#Totals],[Estimated Raw Incentive Total]], Table_Measure_Caps[[#Totals],[Gross Measure Cost Total]], Value_Project_CAP)/Table_Measure_Caps[[#Totals],[Estimated Raw Incentive Total]], "")</f>
        <v/>
      </c>
      <c r="J11" s="7" t="str">
        <f>IF(ISNUMBER($D11)=TRUE,'A-C &amp; Heat Pumps'!P14,"")</f>
        <v/>
      </c>
      <c r="K11" s="22" t="str">
        <f t="shared" si="1"/>
        <v>Version 4.0</v>
      </c>
      <c r="L11" s="53" t="str">
        <f>IF(ISNUMBER($D11)=TRUE,'A-C &amp; Heat Pumps'!E14,"")</f>
        <v/>
      </c>
      <c r="M11" s="34" t="str">
        <f>'A-C &amp; Heat Pumps'!R14</f>
        <v/>
      </c>
    </row>
    <row r="12" spans="1:13" x14ac:dyDescent="0.2">
      <c r="A12" s="8" t="s">
        <v>61</v>
      </c>
      <c r="B12" s="7">
        <f t="shared" si="0"/>
        <v>0</v>
      </c>
      <c r="C12" s="7">
        <f>'A-C &amp; Heat Pumps'!B15</f>
        <v>10</v>
      </c>
      <c r="D12" s="7" t="str">
        <f>'A-C &amp; Heat Pumps'!C15</f>
        <v/>
      </c>
      <c r="E12" s="7" t="str">
        <f>'A-C &amp; Heat Pumps'!F15</f>
        <v/>
      </c>
      <c r="F12" s="7" t="str">
        <f>IF(ISNUMBER($D12)=TRUE,'A-C &amp; Heat Pumps'!G15,"")</f>
        <v/>
      </c>
      <c r="G12" s="7" t="str">
        <f>IF(ISNUMBER($D12)=TRUE,'A-C &amp; Heat Pumps'!S15,"")</f>
        <v/>
      </c>
      <c r="H12" s="88" t="str">
        <f>IF(ISNUMBER($D12)=TRUE,'A-C &amp; Heat Pumps'!T15,"")</f>
        <v/>
      </c>
      <c r="I12" s="37" t="str">
        <f>IFERROR(M12*MIN(Table_Measure_Caps[[#Totals],[Estimated Raw Incentive Total]], Table_Measure_Caps[[#Totals],[Gross Measure Cost Total]], Value_Project_CAP)/Table_Measure_Caps[[#Totals],[Estimated Raw Incentive Total]], "")</f>
        <v/>
      </c>
      <c r="J12" s="7" t="str">
        <f>IF(ISNUMBER($D12)=TRUE,'A-C &amp; Heat Pumps'!P15,"")</f>
        <v/>
      </c>
      <c r="K12" s="22" t="str">
        <f t="shared" si="1"/>
        <v>Version 4.0</v>
      </c>
      <c r="L12" s="53" t="str">
        <f>IF(ISNUMBER($D12)=TRUE,'A-C &amp; Heat Pumps'!E15,"")</f>
        <v/>
      </c>
      <c r="M12" s="34" t="str">
        <f>'A-C &amp; Heat Pumps'!R15</f>
        <v/>
      </c>
    </row>
    <row r="13" spans="1:13" x14ac:dyDescent="0.2">
      <c r="A13" s="8" t="s">
        <v>61</v>
      </c>
      <c r="B13" s="7">
        <f t="shared" si="0"/>
        <v>0</v>
      </c>
      <c r="C13" s="7">
        <f>'A-C &amp; Heat Pumps'!B16</f>
        <v>11</v>
      </c>
      <c r="D13" s="7" t="str">
        <f>'A-C &amp; Heat Pumps'!C16</f>
        <v/>
      </c>
      <c r="E13" s="7" t="str">
        <f>'A-C &amp; Heat Pumps'!F16</f>
        <v/>
      </c>
      <c r="F13" s="7" t="str">
        <f>IF(ISNUMBER($D13)=TRUE,'A-C &amp; Heat Pumps'!G16,"")</f>
        <v/>
      </c>
      <c r="G13" s="7" t="str">
        <f>IF(ISNUMBER($D13)=TRUE,'A-C &amp; Heat Pumps'!S16,"")</f>
        <v/>
      </c>
      <c r="H13" s="88" t="str">
        <f>IF(ISNUMBER($D13)=TRUE,'A-C &amp; Heat Pumps'!T16,"")</f>
        <v/>
      </c>
      <c r="I13" s="37" t="str">
        <f>IFERROR(M13*MIN(Table_Measure_Caps[[#Totals],[Estimated Raw Incentive Total]], Table_Measure_Caps[[#Totals],[Gross Measure Cost Total]], Value_Project_CAP)/Table_Measure_Caps[[#Totals],[Estimated Raw Incentive Total]], "")</f>
        <v/>
      </c>
      <c r="J13" s="7" t="str">
        <f>IF(ISNUMBER($D13)=TRUE,'A-C &amp; Heat Pumps'!P16,"")</f>
        <v/>
      </c>
      <c r="K13" s="22" t="str">
        <f t="shared" si="1"/>
        <v>Version 4.0</v>
      </c>
      <c r="L13" s="53" t="str">
        <f>IF(ISNUMBER($D13)=TRUE,'A-C &amp; Heat Pumps'!E16,"")</f>
        <v/>
      </c>
      <c r="M13" s="34" t="str">
        <f>'A-C &amp; Heat Pumps'!R16</f>
        <v/>
      </c>
    </row>
    <row r="14" spans="1:13" x14ac:dyDescent="0.2">
      <c r="A14" s="8" t="s">
        <v>61</v>
      </c>
      <c r="B14" s="7">
        <f t="shared" si="0"/>
        <v>0</v>
      </c>
      <c r="C14" s="7">
        <f>'A-C &amp; Heat Pumps'!B17</f>
        <v>12</v>
      </c>
      <c r="D14" s="7" t="str">
        <f>'A-C &amp; Heat Pumps'!C17</f>
        <v/>
      </c>
      <c r="E14" s="7" t="str">
        <f>'A-C &amp; Heat Pumps'!F17</f>
        <v/>
      </c>
      <c r="F14" s="7" t="str">
        <f>IF(ISNUMBER($D14)=TRUE,'A-C &amp; Heat Pumps'!G17,"")</f>
        <v/>
      </c>
      <c r="G14" s="7" t="str">
        <f>IF(ISNUMBER($D14)=TRUE,'A-C &amp; Heat Pumps'!S17,"")</f>
        <v/>
      </c>
      <c r="H14" s="88" t="str">
        <f>IF(ISNUMBER($D14)=TRUE,'A-C &amp; Heat Pumps'!T17,"")</f>
        <v/>
      </c>
      <c r="I14" s="37" t="str">
        <f>IFERROR(M14*MIN(Table_Measure_Caps[[#Totals],[Estimated Raw Incentive Total]], Table_Measure_Caps[[#Totals],[Gross Measure Cost Total]], Value_Project_CAP)/Table_Measure_Caps[[#Totals],[Estimated Raw Incentive Total]], "")</f>
        <v/>
      </c>
      <c r="J14" s="7" t="str">
        <f>IF(ISNUMBER($D14)=TRUE,'A-C &amp; Heat Pumps'!P17,"")</f>
        <v/>
      </c>
      <c r="K14" s="22" t="str">
        <f t="shared" si="1"/>
        <v>Version 4.0</v>
      </c>
      <c r="L14" s="53" t="str">
        <f>IF(ISNUMBER($D14)=TRUE,'A-C &amp; Heat Pumps'!E17,"")</f>
        <v/>
      </c>
      <c r="M14" s="34" t="str">
        <f>'A-C &amp; Heat Pumps'!R17</f>
        <v/>
      </c>
    </row>
    <row r="15" spans="1:13" x14ac:dyDescent="0.2">
      <c r="A15" s="8" t="s">
        <v>61</v>
      </c>
      <c r="B15" s="7">
        <f t="shared" si="0"/>
        <v>0</v>
      </c>
      <c r="C15" s="7">
        <f>'A-C &amp; Heat Pumps'!B18</f>
        <v>13</v>
      </c>
      <c r="D15" s="7" t="str">
        <f>'A-C &amp; Heat Pumps'!C18</f>
        <v/>
      </c>
      <c r="E15" s="7" t="str">
        <f>'A-C &amp; Heat Pumps'!F18</f>
        <v/>
      </c>
      <c r="F15" s="7" t="str">
        <f>IF(ISNUMBER($D15)=TRUE,'A-C &amp; Heat Pumps'!G18,"")</f>
        <v/>
      </c>
      <c r="G15" s="7" t="str">
        <f>IF(ISNUMBER($D15)=TRUE,'A-C &amp; Heat Pumps'!S18,"")</f>
        <v/>
      </c>
      <c r="H15" s="88" t="str">
        <f>IF(ISNUMBER($D15)=TRUE,'A-C &amp; Heat Pumps'!T18,"")</f>
        <v/>
      </c>
      <c r="I15" s="37" t="str">
        <f>IFERROR(M15*MIN(Table_Measure_Caps[[#Totals],[Estimated Raw Incentive Total]], Table_Measure_Caps[[#Totals],[Gross Measure Cost Total]], Value_Project_CAP)/Table_Measure_Caps[[#Totals],[Estimated Raw Incentive Total]], "")</f>
        <v/>
      </c>
      <c r="J15" s="7" t="str">
        <f>IF(ISNUMBER($D15)=TRUE,'A-C &amp; Heat Pumps'!P18,"")</f>
        <v/>
      </c>
      <c r="K15" s="22" t="str">
        <f t="shared" si="1"/>
        <v>Version 4.0</v>
      </c>
      <c r="L15" s="53" t="str">
        <f>IF(ISNUMBER($D15)=TRUE,'A-C &amp; Heat Pumps'!E18,"")</f>
        <v/>
      </c>
      <c r="M15" s="34" t="str">
        <f>'A-C &amp; Heat Pumps'!R18</f>
        <v/>
      </c>
    </row>
    <row r="16" spans="1:13" x14ac:dyDescent="0.2">
      <c r="A16" s="8" t="s">
        <v>61</v>
      </c>
      <c r="B16" s="7">
        <f t="shared" si="0"/>
        <v>0</v>
      </c>
      <c r="C16" s="7">
        <f>'A-C &amp; Heat Pumps'!B19</f>
        <v>14</v>
      </c>
      <c r="D16" s="7" t="str">
        <f>'A-C &amp; Heat Pumps'!C19</f>
        <v/>
      </c>
      <c r="E16" s="7" t="str">
        <f>'A-C &amp; Heat Pumps'!F19</f>
        <v/>
      </c>
      <c r="F16" s="7" t="str">
        <f>IF(ISNUMBER($D16)=TRUE,'A-C &amp; Heat Pumps'!G19,"")</f>
        <v/>
      </c>
      <c r="G16" s="7" t="str">
        <f>IF(ISNUMBER($D16)=TRUE,'A-C &amp; Heat Pumps'!S19,"")</f>
        <v/>
      </c>
      <c r="H16" s="88" t="str">
        <f>IF(ISNUMBER($D16)=TRUE,'A-C &amp; Heat Pumps'!T19,"")</f>
        <v/>
      </c>
      <c r="I16" s="37" t="str">
        <f>IFERROR(M16*MIN(Table_Measure_Caps[[#Totals],[Estimated Raw Incentive Total]], Table_Measure_Caps[[#Totals],[Gross Measure Cost Total]], Value_Project_CAP)/Table_Measure_Caps[[#Totals],[Estimated Raw Incentive Total]], "")</f>
        <v/>
      </c>
      <c r="J16" s="7" t="str">
        <f>IF(ISNUMBER($D16)=TRUE,'A-C &amp; Heat Pumps'!P19,"")</f>
        <v/>
      </c>
      <c r="K16" s="22" t="str">
        <f t="shared" si="1"/>
        <v>Version 4.0</v>
      </c>
      <c r="L16" s="53" t="str">
        <f>IF(ISNUMBER($D16)=TRUE,'A-C &amp; Heat Pumps'!E19,"")</f>
        <v/>
      </c>
      <c r="M16" s="34" t="str">
        <f>'A-C &amp; Heat Pumps'!R19</f>
        <v/>
      </c>
    </row>
    <row r="17" spans="1:13" x14ac:dyDescent="0.2">
      <c r="A17" s="8" t="s">
        <v>61</v>
      </c>
      <c r="B17" s="7">
        <f t="shared" si="0"/>
        <v>0</v>
      </c>
      <c r="C17" s="7">
        <f>'A-C &amp; Heat Pumps'!B20</f>
        <v>15</v>
      </c>
      <c r="D17" s="7" t="str">
        <f>'A-C &amp; Heat Pumps'!C20</f>
        <v/>
      </c>
      <c r="E17" s="7" t="str">
        <f>'A-C &amp; Heat Pumps'!F20</f>
        <v/>
      </c>
      <c r="F17" s="7" t="str">
        <f>IF(ISNUMBER($D17)=TRUE,'A-C &amp; Heat Pumps'!G20,"")</f>
        <v/>
      </c>
      <c r="G17" s="7" t="str">
        <f>IF(ISNUMBER($D17)=TRUE,'A-C &amp; Heat Pumps'!S20,"")</f>
        <v/>
      </c>
      <c r="H17" s="88" t="str">
        <f>IF(ISNUMBER($D17)=TRUE,'A-C &amp; Heat Pumps'!T20,"")</f>
        <v/>
      </c>
      <c r="I17" s="37" t="str">
        <f>IFERROR(M17*MIN(Table_Measure_Caps[[#Totals],[Estimated Raw Incentive Total]], Table_Measure_Caps[[#Totals],[Gross Measure Cost Total]], Value_Project_CAP)/Table_Measure_Caps[[#Totals],[Estimated Raw Incentive Total]], "")</f>
        <v/>
      </c>
      <c r="J17" s="7" t="str">
        <f>IF(ISNUMBER($D17)=TRUE,'A-C &amp; Heat Pumps'!P20,"")</f>
        <v/>
      </c>
      <c r="K17" s="22" t="str">
        <f t="shared" si="1"/>
        <v>Version 4.0</v>
      </c>
      <c r="L17" s="53" t="str">
        <f>IF(ISNUMBER($D17)=TRUE,'A-C &amp; Heat Pumps'!E20,"")</f>
        <v/>
      </c>
      <c r="M17" s="34" t="str">
        <f>'A-C &amp; Heat Pumps'!R20</f>
        <v/>
      </c>
    </row>
    <row r="18" spans="1:13" x14ac:dyDescent="0.2">
      <c r="A18" s="8" t="s">
        <v>61</v>
      </c>
      <c r="B18" s="7">
        <f t="shared" si="0"/>
        <v>0</v>
      </c>
      <c r="C18" s="7">
        <f>'A-C &amp; Heat Pumps'!B21</f>
        <v>16</v>
      </c>
      <c r="D18" s="7" t="str">
        <f>'A-C &amp; Heat Pumps'!C21</f>
        <v/>
      </c>
      <c r="E18" s="7" t="str">
        <f>'A-C &amp; Heat Pumps'!F21</f>
        <v/>
      </c>
      <c r="F18" s="7" t="str">
        <f>IF(ISNUMBER($D18)=TRUE,'A-C &amp; Heat Pumps'!G21,"")</f>
        <v/>
      </c>
      <c r="G18" s="7" t="str">
        <f>IF(ISNUMBER($D18)=TRUE,'A-C &amp; Heat Pumps'!S21,"")</f>
        <v/>
      </c>
      <c r="H18" s="88" t="str">
        <f>IF(ISNUMBER($D18)=TRUE,'A-C &amp; Heat Pumps'!T21,"")</f>
        <v/>
      </c>
      <c r="I18" s="37" t="str">
        <f>IFERROR(M18*MIN(Table_Measure_Caps[[#Totals],[Estimated Raw Incentive Total]], Table_Measure_Caps[[#Totals],[Gross Measure Cost Total]], Value_Project_CAP)/Table_Measure_Caps[[#Totals],[Estimated Raw Incentive Total]], "")</f>
        <v/>
      </c>
      <c r="J18" s="7" t="str">
        <f>IF(ISNUMBER($D18)=TRUE,'A-C &amp; Heat Pumps'!P21,"")</f>
        <v/>
      </c>
      <c r="K18" s="22" t="str">
        <f t="shared" si="1"/>
        <v>Version 4.0</v>
      </c>
      <c r="L18" s="53" t="str">
        <f>IF(ISNUMBER($D18)=TRUE,'A-C &amp; Heat Pumps'!E21,"")</f>
        <v/>
      </c>
      <c r="M18" s="34" t="str">
        <f>'A-C &amp; Heat Pumps'!R21</f>
        <v/>
      </c>
    </row>
    <row r="19" spans="1:13" x14ac:dyDescent="0.2">
      <c r="A19" s="8" t="s">
        <v>61</v>
      </c>
      <c r="B19" s="7">
        <f t="shared" si="0"/>
        <v>0</v>
      </c>
      <c r="C19" s="7">
        <f>'A-C &amp; Heat Pumps'!B22</f>
        <v>17</v>
      </c>
      <c r="D19" s="7" t="str">
        <f>'A-C &amp; Heat Pumps'!C22</f>
        <v/>
      </c>
      <c r="E19" s="7" t="str">
        <f>'A-C &amp; Heat Pumps'!F22</f>
        <v/>
      </c>
      <c r="F19" s="7" t="str">
        <f>IF(ISNUMBER($D19)=TRUE,'A-C &amp; Heat Pumps'!G22,"")</f>
        <v/>
      </c>
      <c r="G19" s="7" t="str">
        <f>IF(ISNUMBER($D19)=TRUE,'A-C &amp; Heat Pumps'!S22,"")</f>
        <v/>
      </c>
      <c r="H19" s="88" t="str">
        <f>IF(ISNUMBER($D19)=TRUE,'A-C &amp; Heat Pumps'!T22,"")</f>
        <v/>
      </c>
      <c r="I19" s="37" t="str">
        <f>IFERROR(M19*MIN(Table_Measure_Caps[[#Totals],[Estimated Raw Incentive Total]], Table_Measure_Caps[[#Totals],[Gross Measure Cost Total]], Value_Project_CAP)/Table_Measure_Caps[[#Totals],[Estimated Raw Incentive Total]], "")</f>
        <v/>
      </c>
      <c r="J19" s="7" t="str">
        <f>IF(ISNUMBER($D19)=TRUE,'A-C &amp; Heat Pumps'!P22,"")</f>
        <v/>
      </c>
      <c r="K19" s="22" t="str">
        <f t="shared" si="1"/>
        <v>Version 4.0</v>
      </c>
      <c r="L19" s="53" t="str">
        <f>IF(ISNUMBER($D19)=TRUE,'A-C &amp; Heat Pumps'!E22,"")</f>
        <v/>
      </c>
      <c r="M19" s="34" t="str">
        <f>'A-C &amp; Heat Pumps'!R22</f>
        <v/>
      </c>
    </row>
    <row r="20" spans="1:13" x14ac:dyDescent="0.2">
      <c r="A20" s="8" t="s">
        <v>61</v>
      </c>
      <c r="B20" s="7">
        <f t="shared" si="0"/>
        <v>0</v>
      </c>
      <c r="C20" s="7">
        <f>'A-C &amp; Heat Pumps'!B23</f>
        <v>18</v>
      </c>
      <c r="D20" s="7" t="str">
        <f>'A-C &amp; Heat Pumps'!C23</f>
        <v/>
      </c>
      <c r="E20" s="7" t="str">
        <f>'A-C &amp; Heat Pumps'!F23</f>
        <v/>
      </c>
      <c r="F20" s="7" t="str">
        <f>IF(ISNUMBER($D20)=TRUE,'A-C &amp; Heat Pumps'!G23,"")</f>
        <v/>
      </c>
      <c r="G20" s="7" t="str">
        <f>IF(ISNUMBER($D20)=TRUE,'A-C &amp; Heat Pumps'!S23,"")</f>
        <v/>
      </c>
      <c r="H20" s="88" t="str">
        <f>IF(ISNUMBER($D20)=TRUE,'A-C &amp; Heat Pumps'!T23,"")</f>
        <v/>
      </c>
      <c r="I20" s="37" t="str">
        <f>IFERROR(M20*MIN(Table_Measure_Caps[[#Totals],[Estimated Raw Incentive Total]], Table_Measure_Caps[[#Totals],[Gross Measure Cost Total]], Value_Project_CAP)/Table_Measure_Caps[[#Totals],[Estimated Raw Incentive Total]], "")</f>
        <v/>
      </c>
      <c r="J20" s="7" t="str">
        <f>IF(ISNUMBER($D20)=TRUE,'A-C &amp; Heat Pumps'!P23,"")</f>
        <v/>
      </c>
      <c r="K20" s="22" t="str">
        <f t="shared" si="1"/>
        <v>Version 4.0</v>
      </c>
      <c r="L20" s="53" t="str">
        <f>IF(ISNUMBER($D20)=TRUE,'A-C &amp; Heat Pumps'!E23,"")</f>
        <v/>
      </c>
      <c r="M20" s="34" t="str">
        <f>'A-C &amp; Heat Pumps'!R23</f>
        <v/>
      </c>
    </row>
    <row r="21" spans="1:13" x14ac:dyDescent="0.2">
      <c r="A21" s="8" t="s">
        <v>61</v>
      </c>
      <c r="B21" s="7">
        <f t="shared" si="0"/>
        <v>0</v>
      </c>
      <c r="C21" s="7">
        <f>'A-C &amp; Heat Pumps'!B24</f>
        <v>19</v>
      </c>
      <c r="D21" s="7" t="str">
        <f>'A-C &amp; Heat Pumps'!C24</f>
        <v/>
      </c>
      <c r="E21" s="7" t="str">
        <f>'A-C &amp; Heat Pumps'!F24</f>
        <v/>
      </c>
      <c r="F21" s="7" t="str">
        <f>IF(ISNUMBER($D21)=TRUE,'A-C &amp; Heat Pumps'!G24,"")</f>
        <v/>
      </c>
      <c r="G21" s="7" t="str">
        <f>IF(ISNUMBER($D21)=TRUE,'A-C &amp; Heat Pumps'!S24,"")</f>
        <v/>
      </c>
      <c r="H21" s="88" t="str">
        <f>IF(ISNUMBER($D21)=TRUE,'A-C &amp; Heat Pumps'!T24,"")</f>
        <v/>
      </c>
      <c r="I21" s="37" t="str">
        <f>IFERROR(M21*MIN(Table_Measure_Caps[[#Totals],[Estimated Raw Incentive Total]], Table_Measure_Caps[[#Totals],[Gross Measure Cost Total]], Value_Project_CAP)/Table_Measure_Caps[[#Totals],[Estimated Raw Incentive Total]], "")</f>
        <v/>
      </c>
      <c r="J21" s="7" t="str">
        <f>IF(ISNUMBER($D21)=TRUE,'A-C &amp; Heat Pumps'!P24,"")</f>
        <v/>
      </c>
      <c r="K21" s="22" t="str">
        <f t="shared" si="1"/>
        <v>Version 4.0</v>
      </c>
      <c r="L21" s="53" t="str">
        <f>IF(ISNUMBER($D21)=TRUE,'A-C &amp; Heat Pumps'!E24,"")</f>
        <v/>
      </c>
      <c r="M21" s="34" t="str">
        <f>'A-C &amp; Heat Pumps'!R24</f>
        <v/>
      </c>
    </row>
    <row r="22" spans="1:13" x14ac:dyDescent="0.2">
      <c r="A22" s="8" t="s">
        <v>61</v>
      </c>
      <c r="B22" s="7">
        <f t="shared" si="0"/>
        <v>0</v>
      </c>
      <c r="C22" s="7">
        <f>'A-C &amp; Heat Pumps'!B25</f>
        <v>20</v>
      </c>
      <c r="D22" s="7" t="str">
        <f>'A-C &amp; Heat Pumps'!C25</f>
        <v/>
      </c>
      <c r="E22" s="7" t="str">
        <f>'A-C &amp; Heat Pumps'!F25</f>
        <v/>
      </c>
      <c r="F22" s="7" t="str">
        <f>IF(ISNUMBER($D22)=TRUE,'A-C &amp; Heat Pumps'!G25,"")</f>
        <v/>
      </c>
      <c r="G22" s="7" t="str">
        <f>IF(ISNUMBER($D22)=TRUE,'A-C &amp; Heat Pumps'!S25,"")</f>
        <v/>
      </c>
      <c r="H22" s="88" t="str">
        <f>IF(ISNUMBER($D22)=TRUE,'A-C &amp; Heat Pumps'!T25,"")</f>
        <v/>
      </c>
      <c r="I22" s="37" t="str">
        <f>IFERROR(M22*MIN(Table_Measure_Caps[[#Totals],[Estimated Raw Incentive Total]], Table_Measure_Caps[[#Totals],[Gross Measure Cost Total]], Value_Project_CAP)/Table_Measure_Caps[[#Totals],[Estimated Raw Incentive Total]], "")</f>
        <v/>
      </c>
      <c r="J22" s="7" t="str">
        <f>IF(ISNUMBER($D22)=TRUE,'A-C &amp; Heat Pumps'!P25,"")</f>
        <v/>
      </c>
      <c r="K22" s="22" t="str">
        <f t="shared" si="1"/>
        <v>Version 4.0</v>
      </c>
      <c r="L22" s="53" t="str">
        <f>IF(ISNUMBER($D22)=TRUE,'A-C &amp; Heat Pumps'!E25,"")</f>
        <v/>
      </c>
      <c r="M22" s="34" t="str">
        <f>'A-C &amp; Heat Pumps'!R25</f>
        <v/>
      </c>
    </row>
    <row r="23" spans="1:13" x14ac:dyDescent="0.2">
      <c r="A23" s="8" t="s">
        <v>61</v>
      </c>
      <c r="B23" s="7">
        <f t="shared" si="0"/>
        <v>0</v>
      </c>
      <c r="C23" s="7">
        <f>'A-C &amp; Heat Pumps'!B26</f>
        <v>21</v>
      </c>
      <c r="D23" s="7" t="str">
        <f>'A-C &amp; Heat Pumps'!C26</f>
        <v/>
      </c>
      <c r="E23" s="7" t="str">
        <f>'A-C &amp; Heat Pumps'!F26</f>
        <v/>
      </c>
      <c r="F23" s="7" t="str">
        <f>IF(ISNUMBER($D23)=TRUE,'A-C &amp; Heat Pumps'!G26,"")</f>
        <v/>
      </c>
      <c r="G23" s="7" t="str">
        <f>IF(ISNUMBER($D23)=TRUE,'A-C &amp; Heat Pumps'!S26,"")</f>
        <v/>
      </c>
      <c r="H23" s="88" t="str">
        <f>IF(ISNUMBER($D23)=TRUE,'A-C &amp; Heat Pumps'!T26,"")</f>
        <v/>
      </c>
      <c r="I23" s="37" t="str">
        <f>IFERROR(M23*MIN(Table_Measure_Caps[[#Totals],[Estimated Raw Incentive Total]], Table_Measure_Caps[[#Totals],[Gross Measure Cost Total]], Value_Project_CAP)/Table_Measure_Caps[[#Totals],[Estimated Raw Incentive Total]], "")</f>
        <v/>
      </c>
      <c r="J23" s="7" t="str">
        <f>IF(ISNUMBER($D23)=TRUE,'A-C &amp; Heat Pumps'!P26,"")</f>
        <v/>
      </c>
      <c r="K23" s="22" t="str">
        <f t="shared" si="1"/>
        <v>Version 4.0</v>
      </c>
      <c r="L23" s="53" t="str">
        <f>IF(ISNUMBER($D23)=TRUE,'A-C &amp; Heat Pumps'!E26,"")</f>
        <v/>
      </c>
      <c r="M23" s="34" t="str">
        <f>'A-C &amp; Heat Pumps'!R26</f>
        <v/>
      </c>
    </row>
    <row r="24" spans="1:13" x14ac:dyDescent="0.2">
      <c r="A24" s="8" t="s">
        <v>61</v>
      </c>
      <c r="B24" s="7">
        <f t="shared" si="0"/>
        <v>0</v>
      </c>
      <c r="C24" s="7">
        <f>'A-C &amp; Heat Pumps'!B27</f>
        <v>22</v>
      </c>
      <c r="D24" s="7" t="str">
        <f>'A-C &amp; Heat Pumps'!C27</f>
        <v/>
      </c>
      <c r="E24" s="7" t="str">
        <f>'A-C &amp; Heat Pumps'!F27</f>
        <v/>
      </c>
      <c r="F24" s="7" t="str">
        <f>IF(ISNUMBER($D24)=TRUE,'A-C &amp; Heat Pumps'!G27,"")</f>
        <v/>
      </c>
      <c r="G24" s="7" t="str">
        <f>IF(ISNUMBER($D24)=TRUE,'A-C &amp; Heat Pumps'!S27,"")</f>
        <v/>
      </c>
      <c r="H24" s="88" t="str">
        <f>IF(ISNUMBER($D24)=TRUE,'A-C &amp; Heat Pumps'!T27,"")</f>
        <v/>
      </c>
      <c r="I24" s="37" t="str">
        <f>IFERROR(M24*MIN(Table_Measure_Caps[[#Totals],[Estimated Raw Incentive Total]], Table_Measure_Caps[[#Totals],[Gross Measure Cost Total]], Value_Project_CAP)/Table_Measure_Caps[[#Totals],[Estimated Raw Incentive Total]], "")</f>
        <v/>
      </c>
      <c r="J24" s="7" t="str">
        <f>IF(ISNUMBER($D24)=TRUE,'A-C &amp; Heat Pumps'!P27,"")</f>
        <v/>
      </c>
      <c r="K24" s="22" t="str">
        <f t="shared" si="1"/>
        <v>Version 4.0</v>
      </c>
      <c r="L24" s="53" t="str">
        <f>IF(ISNUMBER($D24)=TRUE,'A-C &amp; Heat Pumps'!E27,"")</f>
        <v/>
      </c>
      <c r="M24" s="34" t="str">
        <f>'A-C &amp; Heat Pumps'!R27</f>
        <v/>
      </c>
    </row>
    <row r="25" spans="1:13" x14ac:dyDescent="0.2">
      <c r="A25" s="8" t="s">
        <v>61</v>
      </c>
      <c r="B25" s="7">
        <f t="shared" si="0"/>
        <v>0</v>
      </c>
      <c r="C25" s="7">
        <f>'A-C &amp; Heat Pumps'!B28</f>
        <v>23</v>
      </c>
      <c r="D25" s="7" t="str">
        <f>'A-C &amp; Heat Pumps'!C28</f>
        <v/>
      </c>
      <c r="E25" s="7" t="str">
        <f>'A-C &amp; Heat Pumps'!F28</f>
        <v/>
      </c>
      <c r="F25" s="7" t="str">
        <f>IF(ISNUMBER($D25)=TRUE,'A-C &amp; Heat Pumps'!G28,"")</f>
        <v/>
      </c>
      <c r="G25" s="7" t="str">
        <f>IF(ISNUMBER($D25)=TRUE,'A-C &amp; Heat Pumps'!S28,"")</f>
        <v/>
      </c>
      <c r="H25" s="88" t="str">
        <f>IF(ISNUMBER($D25)=TRUE,'A-C &amp; Heat Pumps'!T28,"")</f>
        <v/>
      </c>
      <c r="I25" s="37" t="str">
        <f>IFERROR(M25*MIN(Table_Measure_Caps[[#Totals],[Estimated Raw Incentive Total]], Table_Measure_Caps[[#Totals],[Gross Measure Cost Total]], Value_Project_CAP)/Table_Measure_Caps[[#Totals],[Estimated Raw Incentive Total]], "")</f>
        <v/>
      </c>
      <c r="J25" s="7" t="str">
        <f>IF(ISNUMBER($D25)=TRUE,'A-C &amp; Heat Pumps'!P28,"")</f>
        <v/>
      </c>
      <c r="K25" s="22" t="str">
        <f t="shared" si="1"/>
        <v>Version 4.0</v>
      </c>
      <c r="L25" s="53" t="str">
        <f>IF(ISNUMBER($D25)=TRUE,'A-C &amp; Heat Pumps'!E28,"")</f>
        <v/>
      </c>
      <c r="M25" s="34" t="str">
        <f>'A-C &amp; Heat Pumps'!R28</f>
        <v/>
      </c>
    </row>
    <row r="26" spans="1:13" x14ac:dyDescent="0.2">
      <c r="A26" s="8" t="s">
        <v>61</v>
      </c>
      <c r="B26" s="7">
        <f t="shared" si="0"/>
        <v>0</v>
      </c>
      <c r="C26" s="7">
        <f>'A-C &amp; Heat Pumps'!B29</f>
        <v>24</v>
      </c>
      <c r="D26" s="7" t="str">
        <f>'A-C &amp; Heat Pumps'!C29</f>
        <v/>
      </c>
      <c r="E26" s="7" t="str">
        <f>'A-C &amp; Heat Pumps'!F29</f>
        <v/>
      </c>
      <c r="F26" s="7" t="str">
        <f>IF(ISNUMBER($D26)=TRUE,'A-C &amp; Heat Pumps'!G29,"")</f>
        <v/>
      </c>
      <c r="G26" s="7" t="str">
        <f>IF(ISNUMBER($D26)=TRUE,'A-C &amp; Heat Pumps'!S29,"")</f>
        <v/>
      </c>
      <c r="H26" s="88" t="str">
        <f>IF(ISNUMBER($D26)=TRUE,'A-C &amp; Heat Pumps'!T29,"")</f>
        <v/>
      </c>
      <c r="I26" s="37" t="str">
        <f>IFERROR(M26*MIN(Table_Measure_Caps[[#Totals],[Estimated Raw Incentive Total]], Table_Measure_Caps[[#Totals],[Gross Measure Cost Total]], Value_Project_CAP)/Table_Measure_Caps[[#Totals],[Estimated Raw Incentive Total]], "")</f>
        <v/>
      </c>
      <c r="J26" s="7" t="str">
        <f>IF(ISNUMBER($D26)=TRUE,'A-C &amp; Heat Pumps'!P29,"")</f>
        <v/>
      </c>
      <c r="K26" s="22" t="str">
        <f t="shared" si="1"/>
        <v>Version 4.0</v>
      </c>
      <c r="L26" s="53" t="str">
        <f>IF(ISNUMBER($D26)=TRUE,'A-C &amp; Heat Pumps'!E29,"")</f>
        <v/>
      </c>
      <c r="M26" s="34" t="str">
        <f>'A-C &amp; Heat Pumps'!R29</f>
        <v/>
      </c>
    </row>
    <row r="27" spans="1:13" x14ac:dyDescent="0.2">
      <c r="A27" s="8" t="s">
        <v>61</v>
      </c>
      <c r="B27" s="7">
        <f t="shared" si="0"/>
        <v>0</v>
      </c>
      <c r="C27" s="7">
        <f>'A-C &amp; Heat Pumps'!B30</f>
        <v>25</v>
      </c>
      <c r="D27" s="7" t="str">
        <f>'A-C &amp; Heat Pumps'!C30</f>
        <v/>
      </c>
      <c r="E27" s="7" t="str">
        <f>'A-C &amp; Heat Pumps'!F30</f>
        <v/>
      </c>
      <c r="F27" s="7" t="str">
        <f>IF(ISNUMBER($D27)=TRUE,'A-C &amp; Heat Pumps'!G30,"")</f>
        <v/>
      </c>
      <c r="G27" s="7" t="str">
        <f>IF(ISNUMBER($D27)=TRUE,'A-C &amp; Heat Pumps'!S30,"")</f>
        <v/>
      </c>
      <c r="H27" s="88" t="str">
        <f>IF(ISNUMBER($D27)=TRUE,'A-C &amp; Heat Pumps'!T30,"")</f>
        <v/>
      </c>
      <c r="I27" s="37" t="str">
        <f>IFERROR(M27*MIN(Table_Measure_Caps[[#Totals],[Estimated Raw Incentive Total]], Table_Measure_Caps[[#Totals],[Gross Measure Cost Total]], Value_Project_CAP)/Table_Measure_Caps[[#Totals],[Estimated Raw Incentive Total]], "")</f>
        <v/>
      </c>
      <c r="J27" s="7" t="str">
        <f>IF(ISNUMBER($D27)=TRUE,'A-C &amp; Heat Pumps'!P30,"")</f>
        <v/>
      </c>
      <c r="K27" s="22" t="str">
        <f t="shared" si="1"/>
        <v>Version 4.0</v>
      </c>
      <c r="L27" s="53" t="str">
        <f>IF(ISNUMBER($D27)=TRUE,'A-C &amp; Heat Pumps'!E30,"")</f>
        <v/>
      </c>
      <c r="M27" s="34" t="str">
        <f>'A-C &amp; Heat Pumps'!R30</f>
        <v/>
      </c>
    </row>
    <row r="28" spans="1:13" x14ac:dyDescent="0.2">
      <c r="A28" s="8" t="s">
        <v>61</v>
      </c>
      <c r="B28" s="7">
        <f t="shared" si="0"/>
        <v>0</v>
      </c>
      <c r="C28" s="7">
        <f>'A-C &amp; Heat Pumps'!B31</f>
        <v>26</v>
      </c>
      <c r="D28" s="7" t="str">
        <f>'A-C &amp; Heat Pumps'!C31</f>
        <v/>
      </c>
      <c r="E28" s="7" t="str">
        <f>'A-C &amp; Heat Pumps'!F31</f>
        <v/>
      </c>
      <c r="F28" s="7" t="str">
        <f>IF(ISNUMBER($D28)=TRUE,'A-C &amp; Heat Pumps'!G31,"")</f>
        <v/>
      </c>
      <c r="G28" s="7" t="str">
        <f>IF(ISNUMBER($D28)=TRUE,'A-C &amp; Heat Pumps'!S31,"")</f>
        <v/>
      </c>
      <c r="H28" s="88" t="str">
        <f>IF(ISNUMBER($D28)=TRUE,'A-C &amp; Heat Pumps'!T31,"")</f>
        <v/>
      </c>
      <c r="I28" s="37" t="str">
        <f>IFERROR(M28*MIN(Table_Measure_Caps[[#Totals],[Estimated Raw Incentive Total]], Table_Measure_Caps[[#Totals],[Gross Measure Cost Total]], Value_Project_CAP)/Table_Measure_Caps[[#Totals],[Estimated Raw Incentive Total]], "")</f>
        <v/>
      </c>
      <c r="J28" s="7" t="str">
        <f>IF(ISNUMBER($D28)=TRUE,'A-C &amp; Heat Pumps'!P31,"")</f>
        <v/>
      </c>
      <c r="K28" s="22" t="str">
        <f t="shared" si="1"/>
        <v>Version 4.0</v>
      </c>
      <c r="L28" s="53" t="str">
        <f>IF(ISNUMBER($D28)=TRUE,'A-C &amp; Heat Pumps'!E31,"")</f>
        <v/>
      </c>
      <c r="M28" s="34" t="str">
        <f>'A-C &amp; Heat Pumps'!R31</f>
        <v/>
      </c>
    </row>
    <row r="29" spans="1:13" x14ac:dyDescent="0.2">
      <c r="A29" s="8" t="s">
        <v>61</v>
      </c>
      <c r="B29" s="7">
        <f t="shared" si="0"/>
        <v>0</v>
      </c>
      <c r="C29" s="7">
        <f>'A-C &amp; Heat Pumps'!B32</f>
        <v>27</v>
      </c>
      <c r="D29" s="7" t="str">
        <f>'A-C &amp; Heat Pumps'!C32</f>
        <v/>
      </c>
      <c r="E29" s="7" t="str">
        <f>'A-C &amp; Heat Pumps'!F32</f>
        <v/>
      </c>
      <c r="F29" s="7" t="str">
        <f>IF(ISNUMBER($D29)=TRUE,'A-C &amp; Heat Pumps'!G32,"")</f>
        <v/>
      </c>
      <c r="G29" s="7" t="str">
        <f>IF(ISNUMBER($D29)=TRUE,'A-C &amp; Heat Pumps'!S32,"")</f>
        <v/>
      </c>
      <c r="H29" s="88" t="str">
        <f>IF(ISNUMBER($D29)=TRUE,'A-C &amp; Heat Pumps'!T32,"")</f>
        <v/>
      </c>
      <c r="I29" s="37" t="str">
        <f>IFERROR(M29*MIN(Table_Measure_Caps[[#Totals],[Estimated Raw Incentive Total]], Table_Measure_Caps[[#Totals],[Gross Measure Cost Total]], Value_Project_CAP)/Table_Measure_Caps[[#Totals],[Estimated Raw Incentive Total]], "")</f>
        <v/>
      </c>
      <c r="J29" s="7" t="str">
        <f>IF(ISNUMBER($D29)=TRUE,'A-C &amp; Heat Pumps'!P32,"")</f>
        <v/>
      </c>
      <c r="K29" s="22" t="str">
        <f t="shared" si="1"/>
        <v>Version 4.0</v>
      </c>
      <c r="L29" s="53" t="str">
        <f>IF(ISNUMBER($D29)=TRUE,'A-C &amp; Heat Pumps'!E32,"")</f>
        <v/>
      </c>
      <c r="M29" s="34" t="str">
        <f>'A-C &amp; Heat Pumps'!R32</f>
        <v/>
      </c>
    </row>
    <row r="30" spans="1:13" x14ac:dyDescent="0.2">
      <c r="A30" s="8" t="s">
        <v>61</v>
      </c>
      <c r="B30" s="7">
        <f t="shared" si="0"/>
        <v>0</v>
      </c>
      <c r="C30" s="7">
        <f>'A-C &amp; Heat Pumps'!B33</f>
        <v>28</v>
      </c>
      <c r="D30" s="7" t="str">
        <f>'A-C &amp; Heat Pumps'!C33</f>
        <v/>
      </c>
      <c r="E30" s="7" t="str">
        <f>'A-C &amp; Heat Pumps'!F33</f>
        <v/>
      </c>
      <c r="F30" s="7" t="str">
        <f>IF(ISNUMBER($D30)=TRUE,'A-C &amp; Heat Pumps'!G33,"")</f>
        <v/>
      </c>
      <c r="G30" s="7" t="str">
        <f>IF(ISNUMBER($D30)=TRUE,'A-C &amp; Heat Pumps'!S33,"")</f>
        <v/>
      </c>
      <c r="H30" s="88" t="str">
        <f>IF(ISNUMBER($D30)=TRUE,'A-C &amp; Heat Pumps'!T33,"")</f>
        <v/>
      </c>
      <c r="I30" s="37" t="str">
        <f>IFERROR(M30*MIN(Table_Measure_Caps[[#Totals],[Estimated Raw Incentive Total]], Table_Measure_Caps[[#Totals],[Gross Measure Cost Total]], Value_Project_CAP)/Table_Measure_Caps[[#Totals],[Estimated Raw Incentive Total]], "")</f>
        <v/>
      </c>
      <c r="J30" s="7" t="str">
        <f>IF(ISNUMBER($D30)=TRUE,'A-C &amp; Heat Pumps'!P33,"")</f>
        <v/>
      </c>
      <c r="K30" s="22" t="str">
        <f t="shared" si="1"/>
        <v>Version 4.0</v>
      </c>
      <c r="L30" s="53" t="str">
        <f>IF(ISNUMBER($D30)=TRUE,'A-C &amp; Heat Pumps'!E33,"")</f>
        <v/>
      </c>
      <c r="M30" s="34" t="str">
        <f>'A-C &amp; Heat Pumps'!R33</f>
        <v/>
      </c>
    </row>
    <row r="31" spans="1:13" x14ac:dyDescent="0.2">
      <c r="A31" s="8" t="s">
        <v>61</v>
      </c>
      <c r="B31" s="7">
        <f t="shared" si="0"/>
        <v>0</v>
      </c>
      <c r="C31" s="7">
        <f>'A-C &amp; Heat Pumps'!B34</f>
        <v>29</v>
      </c>
      <c r="D31" s="7" t="str">
        <f>'A-C &amp; Heat Pumps'!C34</f>
        <v/>
      </c>
      <c r="E31" s="7" t="str">
        <f>'A-C &amp; Heat Pumps'!F34</f>
        <v/>
      </c>
      <c r="F31" s="7" t="str">
        <f>IF(ISNUMBER($D31)=TRUE,'A-C &amp; Heat Pumps'!G34,"")</f>
        <v/>
      </c>
      <c r="G31" s="7" t="str">
        <f>IF(ISNUMBER($D31)=TRUE,'A-C &amp; Heat Pumps'!S34,"")</f>
        <v/>
      </c>
      <c r="H31" s="88" t="str">
        <f>IF(ISNUMBER($D31)=TRUE,'A-C &amp; Heat Pumps'!T34,"")</f>
        <v/>
      </c>
      <c r="I31" s="37" t="str">
        <f>IFERROR(M31*MIN(Table_Measure_Caps[[#Totals],[Estimated Raw Incentive Total]], Table_Measure_Caps[[#Totals],[Gross Measure Cost Total]], Value_Project_CAP)/Table_Measure_Caps[[#Totals],[Estimated Raw Incentive Total]], "")</f>
        <v/>
      </c>
      <c r="J31" s="7" t="str">
        <f>IF(ISNUMBER($D31)=TRUE,'A-C &amp; Heat Pumps'!P34,"")</f>
        <v/>
      </c>
      <c r="K31" s="22" t="str">
        <f t="shared" si="1"/>
        <v>Version 4.0</v>
      </c>
      <c r="L31" s="53" t="str">
        <f>IF(ISNUMBER($D31)=TRUE,'A-C &amp; Heat Pumps'!E34,"")</f>
        <v/>
      </c>
      <c r="M31" s="34" t="str">
        <f>'A-C &amp; Heat Pumps'!R34</f>
        <v/>
      </c>
    </row>
    <row r="32" spans="1:13" x14ac:dyDescent="0.2">
      <c r="A32" s="8" t="s">
        <v>61</v>
      </c>
      <c r="B32" s="7">
        <f t="shared" si="0"/>
        <v>0</v>
      </c>
      <c r="C32" s="7">
        <f>'A-C &amp; Heat Pumps'!B35</f>
        <v>30</v>
      </c>
      <c r="D32" s="7" t="str">
        <f>'A-C &amp; Heat Pumps'!C35</f>
        <v/>
      </c>
      <c r="E32" s="7" t="str">
        <f>'A-C &amp; Heat Pumps'!F35</f>
        <v/>
      </c>
      <c r="F32" s="7" t="str">
        <f>IF(ISNUMBER($D32)=TRUE,'A-C &amp; Heat Pumps'!G35,"")</f>
        <v/>
      </c>
      <c r="G32" s="7" t="str">
        <f>IF(ISNUMBER($D32)=TRUE,'A-C &amp; Heat Pumps'!S35,"")</f>
        <v/>
      </c>
      <c r="H32" s="88" t="str">
        <f>IF(ISNUMBER($D32)=TRUE,'A-C &amp; Heat Pumps'!T35,"")</f>
        <v/>
      </c>
      <c r="I32" s="37" t="str">
        <f>IFERROR(M32*MIN(Table_Measure_Caps[[#Totals],[Estimated Raw Incentive Total]], Table_Measure_Caps[[#Totals],[Gross Measure Cost Total]], Value_Project_CAP)/Table_Measure_Caps[[#Totals],[Estimated Raw Incentive Total]], "")</f>
        <v/>
      </c>
      <c r="J32" s="7" t="str">
        <f>IF(ISNUMBER($D32)=TRUE,'A-C &amp; Heat Pumps'!P35,"")</f>
        <v/>
      </c>
      <c r="K32" s="22" t="str">
        <f t="shared" si="1"/>
        <v>Version 4.0</v>
      </c>
      <c r="L32" s="53" t="str">
        <f>IF(ISNUMBER($D32)=TRUE,'A-C &amp; Heat Pumps'!E35,"")</f>
        <v/>
      </c>
      <c r="M32" s="34" t="str">
        <f>'A-C &amp; Heat Pumps'!R35</f>
        <v/>
      </c>
    </row>
    <row r="33" spans="1:13" x14ac:dyDescent="0.2">
      <c r="A33" s="8" t="s">
        <v>61</v>
      </c>
      <c r="B33" s="7">
        <f t="shared" si="0"/>
        <v>0</v>
      </c>
      <c r="C33" s="7">
        <f>'A-C &amp; Heat Pumps'!B36</f>
        <v>31</v>
      </c>
      <c r="D33" s="7" t="str">
        <f>'A-C &amp; Heat Pumps'!C36</f>
        <v/>
      </c>
      <c r="E33" s="7" t="str">
        <f>'A-C &amp; Heat Pumps'!F36</f>
        <v/>
      </c>
      <c r="F33" s="7" t="str">
        <f>IF(ISNUMBER($D33)=TRUE,'A-C &amp; Heat Pumps'!G36,"")</f>
        <v/>
      </c>
      <c r="G33" s="7" t="str">
        <f>IF(ISNUMBER($D33)=TRUE,'A-C &amp; Heat Pumps'!S36,"")</f>
        <v/>
      </c>
      <c r="H33" s="88" t="str">
        <f>IF(ISNUMBER($D33)=TRUE,'A-C &amp; Heat Pumps'!T36,"")</f>
        <v/>
      </c>
      <c r="I33" s="37" t="str">
        <f>IFERROR(M33*MIN(Table_Measure_Caps[[#Totals],[Estimated Raw Incentive Total]], Table_Measure_Caps[[#Totals],[Gross Measure Cost Total]], Value_Project_CAP)/Table_Measure_Caps[[#Totals],[Estimated Raw Incentive Total]], "")</f>
        <v/>
      </c>
      <c r="J33" s="7" t="str">
        <f>IF(ISNUMBER($D33)=TRUE,'A-C &amp; Heat Pumps'!P36,"")</f>
        <v/>
      </c>
      <c r="K33" s="22" t="str">
        <f t="shared" si="1"/>
        <v>Version 4.0</v>
      </c>
      <c r="L33" s="53" t="str">
        <f>IF(ISNUMBER($D33)=TRUE,'A-C &amp; Heat Pumps'!E36,"")</f>
        <v/>
      </c>
      <c r="M33" s="34" t="str">
        <f>'A-C &amp; Heat Pumps'!R36</f>
        <v/>
      </c>
    </row>
    <row r="34" spans="1:13" x14ac:dyDescent="0.2">
      <c r="A34" s="8" t="s">
        <v>61</v>
      </c>
      <c r="B34" s="7">
        <f t="shared" si="0"/>
        <v>0</v>
      </c>
      <c r="C34" s="7">
        <f>'A-C &amp; Heat Pumps'!B37</f>
        <v>32</v>
      </c>
      <c r="D34" s="7" t="str">
        <f>'A-C &amp; Heat Pumps'!C37</f>
        <v/>
      </c>
      <c r="E34" s="7" t="str">
        <f>'A-C &amp; Heat Pumps'!F37</f>
        <v/>
      </c>
      <c r="F34" s="7" t="str">
        <f>IF(ISNUMBER($D34)=TRUE,'A-C &amp; Heat Pumps'!G37,"")</f>
        <v/>
      </c>
      <c r="G34" s="7" t="str">
        <f>IF(ISNUMBER($D34)=TRUE,'A-C &amp; Heat Pumps'!S37,"")</f>
        <v/>
      </c>
      <c r="H34" s="88" t="str">
        <f>IF(ISNUMBER($D34)=TRUE,'A-C &amp; Heat Pumps'!T37,"")</f>
        <v/>
      </c>
      <c r="I34" s="37" t="str">
        <f>IFERROR(M34*MIN(Table_Measure_Caps[[#Totals],[Estimated Raw Incentive Total]], Table_Measure_Caps[[#Totals],[Gross Measure Cost Total]], Value_Project_CAP)/Table_Measure_Caps[[#Totals],[Estimated Raw Incentive Total]], "")</f>
        <v/>
      </c>
      <c r="J34" s="7" t="str">
        <f>IF(ISNUMBER($D34)=TRUE,'A-C &amp; Heat Pumps'!P37,"")</f>
        <v/>
      </c>
      <c r="K34" s="22" t="str">
        <f t="shared" si="1"/>
        <v>Version 4.0</v>
      </c>
      <c r="L34" s="53" t="str">
        <f>IF(ISNUMBER($D34)=TRUE,'A-C &amp; Heat Pumps'!E37,"")</f>
        <v/>
      </c>
      <c r="M34" s="34" t="str">
        <f>'A-C &amp; Heat Pumps'!R37</f>
        <v/>
      </c>
    </row>
    <row r="35" spans="1:13" x14ac:dyDescent="0.2">
      <c r="A35" s="8" t="s">
        <v>61</v>
      </c>
      <c r="B35" s="7">
        <f t="shared" si="0"/>
        <v>0</v>
      </c>
      <c r="C35" s="7">
        <f>'A-C &amp; Heat Pumps'!B38</f>
        <v>33</v>
      </c>
      <c r="D35" s="7" t="str">
        <f>'A-C &amp; Heat Pumps'!C38</f>
        <v/>
      </c>
      <c r="E35" s="7" t="str">
        <f>'A-C &amp; Heat Pumps'!F38</f>
        <v/>
      </c>
      <c r="F35" s="7" t="str">
        <f>IF(ISNUMBER($D35)=TRUE,'A-C &amp; Heat Pumps'!G38,"")</f>
        <v/>
      </c>
      <c r="G35" s="7" t="str">
        <f>IF(ISNUMBER($D35)=TRUE,'A-C &amp; Heat Pumps'!S38,"")</f>
        <v/>
      </c>
      <c r="H35" s="88" t="str">
        <f>IF(ISNUMBER($D35)=TRUE,'A-C &amp; Heat Pumps'!T38,"")</f>
        <v/>
      </c>
      <c r="I35" s="37" t="str">
        <f>IFERROR(M35*MIN(Table_Measure_Caps[[#Totals],[Estimated Raw Incentive Total]], Table_Measure_Caps[[#Totals],[Gross Measure Cost Total]], Value_Project_CAP)/Table_Measure_Caps[[#Totals],[Estimated Raw Incentive Total]], "")</f>
        <v/>
      </c>
      <c r="J35" s="7" t="str">
        <f>IF(ISNUMBER($D35)=TRUE,'A-C &amp; Heat Pumps'!P38,"")</f>
        <v/>
      </c>
      <c r="K35" s="22" t="str">
        <f t="shared" si="1"/>
        <v>Version 4.0</v>
      </c>
      <c r="L35" s="53" t="str">
        <f>IF(ISNUMBER($D35)=TRUE,'A-C &amp; Heat Pumps'!E38,"")</f>
        <v/>
      </c>
      <c r="M35" s="34" t="str">
        <f>'A-C &amp; Heat Pumps'!R38</f>
        <v/>
      </c>
    </row>
    <row r="36" spans="1:13" x14ac:dyDescent="0.2">
      <c r="A36" s="8" t="s">
        <v>61</v>
      </c>
      <c r="B36" s="7">
        <f t="shared" si="0"/>
        <v>0</v>
      </c>
      <c r="C36" s="7">
        <f>'A-C &amp; Heat Pumps'!B39</f>
        <v>34</v>
      </c>
      <c r="D36" s="7" t="str">
        <f>'A-C &amp; Heat Pumps'!C39</f>
        <v/>
      </c>
      <c r="E36" s="7" t="str">
        <f>'A-C &amp; Heat Pumps'!F39</f>
        <v/>
      </c>
      <c r="F36" s="7" t="str">
        <f>IF(ISNUMBER($D36)=TRUE,'A-C &amp; Heat Pumps'!G39,"")</f>
        <v/>
      </c>
      <c r="G36" s="7" t="str">
        <f>IF(ISNUMBER($D36)=TRUE,'A-C &amp; Heat Pumps'!S39,"")</f>
        <v/>
      </c>
      <c r="H36" s="88" t="str">
        <f>IF(ISNUMBER($D36)=TRUE,'A-C &amp; Heat Pumps'!T39,"")</f>
        <v/>
      </c>
      <c r="I36" s="37" t="str">
        <f>IFERROR(M36*MIN(Table_Measure_Caps[[#Totals],[Estimated Raw Incentive Total]], Table_Measure_Caps[[#Totals],[Gross Measure Cost Total]], Value_Project_CAP)/Table_Measure_Caps[[#Totals],[Estimated Raw Incentive Total]], "")</f>
        <v/>
      </c>
      <c r="J36" s="7" t="str">
        <f>IF(ISNUMBER($D36)=TRUE,'A-C &amp; Heat Pumps'!P39,"")</f>
        <v/>
      </c>
      <c r="K36" s="22" t="str">
        <f t="shared" si="1"/>
        <v>Version 4.0</v>
      </c>
      <c r="L36" s="53" t="str">
        <f>IF(ISNUMBER($D36)=TRUE,'A-C &amp; Heat Pumps'!E39,"")</f>
        <v/>
      </c>
      <c r="M36" s="34" t="str">
        <f>'A-C &amp; Heat Pumps'!R39</f>
        <v/>
      </c>
    </row>
    <row r="37" spans="1:13" x14ac:dyDescent="0.2">
      <c r="A37" s="8" t="s">
        <v>61</v>
      </c>
      <c r="B37" s="7">
        <f t="shared" si="0"/>
        <v>0</v>
      </c>
      <c r="C37" s="7">
        <f>'A-C &amp; Heat Pumps'!B40</f>
        <v>35</v>
      </c>
      <c r="D37" s="7" t="str">
        <f>'A-C &amp; Heat Pumps'!C40</f>
        <v/>
      </c>
      <c r="E37" s="7" t="str">
        <f>'A-C &amp; Heat Pumps'!F40</f>
        <v/>
      </c>
      <c r="F37" s="7" t="str">
        <f>IF(ISNUMBER($D37)=TRUE,'A-C &amp; Heat Pumps'!G40,"")</f>
        <v/>
      </c>
      <c r="G37" s="7" t="str">
        <f>IF(ISNUMBER($D37)=TRUE,'A-C &amp; Heat Pumps'!S40,"")</f>
        <v/>
      </c>
      <c r="H37" s="88" t="str">
        <f>IF(ISNUMBER($D37)=TRUE,'A-C &amp; Heat Pumps'!T40,"")</f>
        <v/>
      </c>
      <c r="I37" s="37" t="str">
        <f>IFERROR(M37*MIN(Table_Measure_Caps[[#Totals],[Estimated Raw Incentive Total]], Table_Measure_Caps[[#Totals],[Gross Measure Cost Total]], Value_Project_CAP)/Table_Measure_Caps[[#Totals],[Estimated Raw Incentive Total]], "")</f>
        <v/>
      </c>
      <c r="J37" s="7" t="str">
        <f>IF(ISNUMBER($D37)=TRUE,'A-C &amp; Heat Pumps'!P40,"")</f>
        <v/>
      </c>
      <c r="K37" s="22" t="str">
        <f t="shared" si="1"/>
        <v>Version 4.0</v>
      </c>
      <c r="L37" s="53" t="str">
        <f>IF(ISNUMBER($D37)=TRUE,'A-C &amp; Heat Pumps'!E40,"")</f>
        <v/>
      </c>
      <c r="M37" s="34" t="str">
        <f>'A-C &amp; Heat Pumps'!R40</f>
        <v/>
      </c>
    </row>
    <row r="38" spans="1:13" x14ac:dyDescent="0.2">
      <c r="A38" s="8" t="s">
        <v>61</v>
      </c>
      <c r="B38" s="7">
        <f t="shared" si="0"/>
        <v>0</v>
      </c>
      <c r="C38" s="7">
        <f>'A-C &amp; Heat Pumps'!B41</f>
        <v>36</v>
      </c>
      <c r="D38" s="7" t="str">
        <f>'A-C &amp; Heat Pumps'!C41</f>
        <v/>
      </c>
      <c r="E38" s="7" t="str">
        <f>'A-C &amp; Heat Pumps'!F41</f>
        <v/>
      </c>
      <c r="F38" s="7" t="str">
        <f>IF(ISNUMBER($D38)=TRUE,'A-C &amp; Heat Pumps'!G41,"")</f>
        <v/>
      </c>
      <c r="G38" s="7" t="str">
        <f>IF(ISNUMBER($D38)=TRUE,'A-C &amp; Heat Pumps'!S41,"")</f>
        <v/>
      </c>
      <c r="H38" s="88" t="str">
        <f>IF(ISNUMBER($D38)=TRUE,'A-C &amp; Heat Pumps'!T41,"")</f>
        <v/>
      </c>
      <c r="I38" s="37" t="str">
        <f>IFERROR(M38*MIN(Table_Measure_Caps[[#Totals],[Estimated Raw Incentive Total]], Table_Measure_Caps[[#Totals],[Gross Measure Cost Total]], Value_Project_CAP)/Table_Measure_Caps[[#Totals],[Estimated Raw Incentive Total]], "")</f>
        <v/>
      </c>
      <c r="J38" s="7" t="str">
        <f>IF(ISNUMBER($D38)=TRUE,'A-C &amp; Heat Pumps'!P41,"")</f>
        <v/>
      </c>
      <c r="K38" s="22" t="str">
        <f t="shared" si="1"/>
        <v>Version 4.0</v>
      </c>
      <c r="L38" s="53" t="str">
        <f>IF(ISNUMBER($D38)=TRUE,'A-C &amp; Heat Pumps'!E41,"")</f>
        <v/>
      </c>
      <c r="M38" s="34" t="str">
        <f>'A-C &amp; Heat Pumps'!R41</f>
        <v/>
      </c>
    </row>
    <row r="39" spans="1:13" x14ac:dyDescent="0.2">
      <c r="A39" s="8" t="s">
        <v>61</v>
      </c>
      <c r="B39" s="7">
        <f t="shared" si="0"/>
        <v>0</v>
      </c>
      <c r="C39" s="7">
        <f>'A-C &amp; Heat Pumps'!B42</f>
        <v>37</v>
      </c>
      <c r="D39" s="7" t="str">
        <f>'A-C &amp; Heat Pumps'!C42</f>
        <v/>
      </c>
      <c r="E39" s="7" t="str">
        <f>'A-C &amp; Heat Pumps'!F42</f>
        <v/>
      </c>
      <c r="F39" s="7" t="str">
        <f>IF(ISNUMBER($D39)=TRUE,'A-C &amp; Heat Pumps'!G42,"")</f>
        <v/>
      </c>
      <c r="G39" s="7" t="str">
        <f>IF(ISNUMBER($D39)=TRUE,'A-C &amp; Heat Pumps'!S42,"")</f>
        <v/>
      </c>
      <c r="H39" s="88" t="str">
        <f>IF(ISNUMBER($D39)=TRUE,'A-C &amp; Heat Pumps'!T42,"")</f>
        <v/>
      </c>
      <c r="I39" s="37" t="str">
        <f>IFERROR(M39*MIN(Table_Measure_Caps[[#Totals],[Estimated Raw Incentive Total]], Table_Measure_Caps[[#Totals],[Gross Measure Cost Total]], Value_Project_CAP)/Table_Measure_Caps[[#Totals],[Estimated Raw Incentive Total]], "")</f>
        <v/>
      </c>
      <c r="J39" s="7" t="str">
        <f>IF(ISNUMBER($D39)=TRUE,'A-C &amp; Heat Pumps'!P42,"")</f>
        <v/>
      </c>
      <c r="K39" s="22" t="str">
        <f t="shared" si="1"/>
        <v>Version 4.0</v>
      </c>
      <c r="L39" s="53" t="str">
        <f>IF(ISNUMBER($D39)=TRUE,'A-C &amp; Heat Pumps'!E42,"")</f>
        <v/>
      </c>
      <c r="M39" s="34" t="str">
        <f>'A-C &amp; Heat Pumps'!R42</f>
        <v/>
      </c>
    </row>
    <row r="40" spans="1:13" x14ac:dyDescent="0.2">
      <c r="A40" s="8" t="s">
        <v>61</v>
      </c>
      <c r="B40" s="7">
        <f t="shared" si="0"/>
        <v>0</v>
      </c>
      <c r="C40" s="7">
        <f>'A-C &amp; Heat Pumps'!B43</f>
        <v>38</v>
      </c>
      <c r="D40" s="7" t="str">
        <f>'A-C &amp; Heat Pumps'!C43</f>
        <v/>
      </c>
      <c r="E40" s="7" t="str">
        <f>'A-C &amp; Heat Pumps'!F43</f>
        <v/>
      </c>
      <c r="F40" s="7" t="str">
        <f>IF(ISNUMBER($D40)=TRUE,'A-C &amp; Heat Pumps'!G43,"")</f>
        <v/>
      </c>
      <c r="G40" s="7" t="str">
        <f>IF(ISNUMBER($D40)=TRUE,'A-C &amp; Heat Pumps'!S43,"")</f>
        <v/>
      </c>
      <c r="H40" s="88" t="str">
        <f>IF(ISNUMBER($D40)=TRUE,'A-C &amp; Heat Pumps'!T43,"")</f>
        <v/>
      </c>
      <c r="I40" s="37" t="str">
        <f>IFERROR(M40*MIN(Table_Measure_Caps[[#Totals],[Estimated Raw Incentive Total]], Table_Measure_Caps[[#Totals],[Gross Measure Cost Total]], Value_Project_CAP)/Table_Measure_Caps[[#Totals],[Estimated Raw Incentive Total]], "")</f>
        <v/>
      </c>
      <c r="J40" s="7" t="str">
        <f>IF(ISNUMBER($D40)=TRUE,'A-C &amp; Heat Pumps'!P43,"")</f>
        <v/>
      </c>
      <c r="K40" s="22" t="str">
        <f t="shared" si="1"/>
        <v>Version 4.0</v>
      </c>
      <c r="L40" s="53" t="str">
        <f>IF(ISNUMBER($D40)=TRUE,'A-C &amp; Heat Pumps'!E43,"")</f>
        <v/>
      </c>
      <c r="M40" s="34" t="str">
        <f>'A-C &amp; Heat Pumps'!R43</f>
        <v/>
      </c>
    </row>
    <row r="41" spans="1:13" x14ac:dyDescent="0.2">
      <c r="A41" s="8" t="s">
        <v>61</v>
      </c>
      <c r="B41" s="7">
        <f t="shared" si="0"/>
        <v>0</v>
      </c>
      <c r="C41" s="7">
        <f>'A-C &amp; Heat Pumps'!B44</f>
        <v>39</v>
      </c>
      <c r="D41" s="7" t="str">
        <f>'A-C &amp; Heat Pumps'!C44</f>
        <v/>
      </c>
      <c r="E41" s="7" t="str">
        <f>'A-C &amp; Heat Pumps'!F44</f>
        <v/>
      </c>
      <c r="F41" s="7" t="str">
        <f>IF(ISNUMBER($D41)=TRUE,'A-C &amp; Heat Pumps'!G44,"")</f>
        <v/>
      </c>
      <c r="G41" s="7" t="str">
        <f>IF(ISNUMBER($D41)=TRUE,'A-C &amp; Heat Pumps'!S44,"")</f>
        <v/>
      </c>
      <c r="H41" s="88" t="str">
        <f>IF(ISNUMBER($D41)=TRUE,'A-C &amp; Heat Pumps'!T44,"")</f>
        <v/>
      </c>
      <c r="I41" s="37" t="str">
        <f>IFERROR(M41*MIN(Table_Measure_Caps[[#Totals],[Estimated Raw Incentive Total]], Table_Measure_Caps[[#Totals],[Gross Measure Cost Total]], Value_Project_CAP)/Table_Measure_Caps[[#Totals],[Estimated Raw Incentive Total]], "")</f>
        <v/>
      </c>
      <c r="J41" s="7" t="str">
        <f>IF(ISNUMBER($D41)=TRUE,'A-C &amp; Heat Pumps'!P44,"")</f>
        <v/>
      </c>
      <c r="K41" s="22" t="str">
        <f t="shared" si="1"/>
        <v>Version 4.0</v>
      </c>
      <c r="L41" s="53" t="str">
        <f>IF(ISNUMBER($D41)=TRUE,'A-C &amp; Heat Pumps'!E44,"")</f>
        <v/>
      </c>
      <c r="M41" s="34" t="str">
        <f>'A-C &amp; Heat Pumps'!R44</f>
        <v/>
      </c>
    </row>
    <row r="42" spans="1:13" x14ac:dyDescent="0.2">
      <c r="A42" s="8" t="s">
        <v>61</v>
      </c>
      <c r="B42" s="7">
        <f t="shared" si="0"/>
        <v>0</v>
      </c>
      <c r="C42" s="7">
        <f>'A-C &amp; Heat Pumps'!B45</f>
        <v>40</v>
      </c>
      <c r="D42" s="7" t="str">
        <f>'A-C &amp; Heat Pumps'!C45</f>
        <v/>
      </c>
      <c r="E42" s="7" t="str">
        <f>'A-C &amp; Heat Pumps'!F45</f>
        <v/>
      </c>
      <c r="F42" s="7" t="str">
        <f>IF(ISNUMBER($D42)=TRUE,'A-C &amp; Heat Pumps'!G45,"")</f>
        <v/>
      </c>
      <c r="G42" s="7" t="str">
        <f>IF(ISNUMBER($D42)=TRUE,'A-C &amp; Heat Pumps'!S45,"")</f>
        <v/>
      </c>
      <c r="H42" s="88" t="str">
        <f>IF(ISNUMBER($D42)=TRUE,'A-C &amp; Heat Pumps'!T45,"")</f>
        <v/>
      </c>
      <c r="I42" s="37" t="str">
        <f>IFERROR(M42*MIN(Table_Measure_Caps[[#Totals],[Estimated Raw Incentive Total]], Table_Measure_Caps[[#Totals],[Gross Measure Cost Total]], Value_Project_CAP)/Table_Measure_Caps[[#Totals],[Estimated Raw Incentive Total]], "")</f>
        <v/>
      </c>
      <c r="J42" s="7" t="str">
        <f>IF(ISNUMBER($D42)=TRUE,'A-C &amp; Heat Pumps'!P45,"")</f>
        <v/>
      </c>
      <c r="K42" s="22" t="str">
        <f t="shared" si="1"/>
        <v>Version 4.0</v>
      </c>
      <c r="L42" s="53" t="str">
        <f>IF(ISNUMBER($D42)=TRUE,'A-C &amp; Heat Pumps'!E45,"")</f>
        <v/>
      </c>
      <c r="M42" s="34" t="str">
        <f>'A-C &amp; Heat Pumps'!R45</f>
        <v/>
      </c>
    </row>
    <row r="43" spans="1:13" x14ac:dyDescent="0.2">
      <c r="A43" s="8" t="s">
        <v>61</v>
      </c>
      <c r="B43" s="7">
        <f t="shared" si="0"/>
        <v>0</v>
      </c>
      <c r="C43" s="7">
        <f>'A-C &amp; Heat Pumps'!B46</f>
        <v>41</v>
      </c>
      <c r="D43" s="7" t="str">
        <f>'A-C &amp; Heat Pumps'!C46</f>
        <v/>
      </c>
      <c r="E43" s="7" t="str">
        <f>'A-C &amp; Heat Pumps'!F46</f>
        <v/>
      </c>
      <c r="F43" s="7" t="str">
        <f>IF(ISNUMBER($D43)=TRUE,'A-C &amp; Heat Pumps'!G46,"")</f>
        <v/>
      </c>
      <c r="G43" s="7" t="str">
        <f>IF(ISNUMBER($D43)=TRUE,'A-C &amp; Heat Pumps'!S46,"")</f>
        <v/>
      </c>
      <c r="H43" s="88" t="str">
        <f>IF(ISNUMBER($D43)=TRUE,'A-C &amp; Heat Pumps'!T46,"")</f>
        <v/>
      </c>
      <c r="I43" s="37" t="str">
        <f>IFERROR(M43*MIN(Table_Measure_Caps[[#Totals],[Estimated Raw Incentive Total]], Table_Measure_Caps[[#Totals],[Gross Measure Cost Total]], Value_Project_CAP)/Table_Measure_Caps[[#Totals],[Estimated Raw Incentive Total]], "")</f>
        <v/>
      </c>
      <c r="J43" s="7" t="str">
        <f>IF(ISNUMBER($D43)=TRUE,'A-C &amp; Heat Pumps'!P46,"")</f>
        <v/>
      </c>
      <c r="K43" s="22" t="str">
        <f t="shared" si="1"/>
        <v>Version 4.0</v>
      </c>
      <c r="L43" s="53" t="str">
        <f>IF(ISNUMBER($D43)=TRUE,'A-C &amp; Heat Pumps'!E46,"")</f>
        <v/>
      </c>
      <c r="M43" s="34" t="str">
        <f>'A-C &amp; Heat Pumps'!R46</f>
        <v/>
      </c>
    </row>
    <row r="44" spans="1:13" x14ac:dyDescent="0.2">
      <c r="A44" s="8" t="s">
        <v>61</v>
      </c>
      <c r="B44" s="7">
        <f t="shared" si="0"/>
        <v>0</v>
      </c>
      <c r="C44" s="7">
        <f>'A-C &amp; Heat Pumps'!B47</f>
        <v>42</v>
      </c>
      <c r="D44" s="7" t="str">
        <f>'A-C &amp; Heat Pumps'!C47</f>
        <v/>
      </c>
      <c r="E44" s="7" t="str">
        <f>'A-C &amp; Heat Pumps'!F47</f>
        <v/>
      </c>
      <c r="F44" s="7" t="str">
        <f>IF(ISNUMBER($D44)=TRUE,'A-C &amp; Heat Pumps'!G47,"")</f>
        <v/>
      </c>
      <c r="G44" s="7" t="str">
        <f>IF(ISNUMBER($D44)=TRUE,'A-C &amp; Heat Pumps'!S47,"")</f>
        <v/>
      </c>
      <c r="H44" s="88" t="str">
        <f>IF(ISNUMBER($D44)=TRUE,'A-C &amp; Heat Pumps'!T47,"")</f>
        <v/>
      </c>
      <c r="I44" s="37" t="str">
        <f>IFERROR(M44*MIN(Table_Measure_Caps[[#Totals],[Estimated Raw Incentive Total]], Table_Measure_Caps[[#Totals],[Gross Measure Cost Total]], Value_Project_CAP)/Table_Measure_Caps[[#Totals],[Estimated Raw Incentive Total]], "")</f>
        <v/>
      </c>
      <c r="J44" s="7" t="str">
        <f>IF(ISNUMBER($D44)=TRUE,'A-C &amp; Heat Pumps'!P47,"")</f>
        <v/>
      </c>
      <c r="K44" s="22" t="str">
        <f t="shared" si="1"/>
        <v>Version 4.0</v>
      </c>
      <c r="L44" s="53" t="str">
        <f>IF(ISNUMBER($D44)=TRUE,'A-C &amp; Heat Pumps'!E47,"")</f>
        <v/>
      </c>
      <c r="M44" s="34" t="str">
        <f>'A-C &amp; Heat Pumps'!R47</f>
        <v/>
      </c>
    </row>
    <row r="45" spans="1:13" x14ac:dyDescent="0.2">
      <c r="A45" s="8" t="s">
        <v>61</v>
      </c>
      <c r="B45" s="7">
        <f t="shared" si="0"/>
        <v>0</v>
      </c>
      <c r="C45" s="7">
        <f>'A-C &amp; Heat Pumps'!B48</f>
        <v>43</v>
      </c>
      <c r="D45" s="7" t="str">
        <f>'A-C &amp; Heat Pumps'!C48</f>
        <v/>
      </c>
      <c r="E45" s="7" t="str">
        <f>'A-C &amp; Heat Pumps'!F48</f>
        <v/>
      </c>
      <c r="F45" s="7" t="str">
        <f>IF(ISNUMBER($D45)=TRUE,'A-C &amp; Heat Pumps'!G48,"")</f>
        <v/>
      </c>
      <c r="G45" s="7" t="str">
        <f>IF(ISNUMBER($D45)=TRUE,'A-C &amp; Heat Pumps'!S48,"")</f>
        <v/>
      </c>
      <c r="H45" s="88" t="str">
        <f>IF(ISNUMBER($D45)=TRUE,'A-C &amp; Heat Pumps'!T48,"")</f>
        <v/>
      </c>
      <c r="I45" s="37" t="str">
        <f>IFERROR(M45*MIN(Table_Measure_Caps[[#Totals],[Estimated Raw Incentive Total]], Table_Measure_Caps[[#Totals],[Gross Measure Cost Total]], Value_Project_CAP)/Table_Measure_Caps[[#Totals],[Estimated Raw Incentive Total]], "")</f>
        <v/>
      </c>
      <c r="J45" s="7" t="str">
        <f>IF(ISNUMBER($D45)=TRUE,'A-C &amp; Heat Pumps'!P48,"")</f>
        <v/>
      </c>
      <c r="K45" s="22" t="str">
        <f t="shared" si="1"/>
        <v>Version 4.0</v>
      </c>
      <c r="L45" s="53" t="str">
        <f>IF(ISNUMBER($D45)=TRUE,'A-C &amp; Heat Pumps'!E48,"")</f>
        <v/>
      </c>
      <c r="M45" s="34" t="str">
        <f>'A-C &amp; Heat Pumps'!R48</f>
        <v/>
      </c>
    </row>
    <row r="46" spans="1:13" x14ac:dyDescent="0.2">
      <c r="A46" s="8" t="s">
        <v>61</v>
      </c>
      <c r="B46" s="7">
        <f t="shared" si="0"/>
        <v>0</v>
      </c>
      <c r="C46" s="7">
        <f>'A-C &amp; Heat Pumps'!B49</f>
        <v>44</v>
      </c>
      <c r="D46" s="7" t="str">
        <f>'A-C &amp; Heat Pumps'!C49</f>
        <v/>
      </c>
      <c r="E46" s="7" t="str">
        <f>'A-C &amp; Heat Pumps'!F49</f>
        <v/>
      </c>
      <c r="F46" s="7" t="str">
        <f>IF(ISNUMBER($D46)=TRUE,'A-C &amp; Heat Pumps'!G49,"")</f>
        <v/>
      </c>
      <c r="G46" s="7" t="str">
        <f>IF(ISNUMBER($D46)=TRUE,'A-C &amp; Heat Pumps'!S49,"")</f>
        <v/>
      </c>
      <c r="H46" s="88" t="str">
        <f>IF(ISNUMBER($D46)=TRUE,'A-C &amp; Heat Pumps'!T49,"")</f>
        <v/>
      </c>
      <c r="I46" s="37" t="str">
        <f>IFERROR(M46*MIN(Table_Measure_Caps[[#Totals],[Estimated Raw Incentive Total]], Table_Measure_Caps[[#Totals],[Gross Measure Cost Total]], Value_Project_CAP)/Table_Measure_Caps[[#Totals],[Estimated Raw Incentive Total]], "")</f>
        <v/>
      </c>
      <c r="J46" s="7" t="str">
        <f>IF(ISNUMBER($D46)=TRUE,'A-C &amp; Heat Pumps'!P49,"")</f>
        <v/>
      </c>
      <c r="K46" s="22" t="str">
        <f t="shared" si="1"/>
        <v>Version 4.0</v>
      </c>
      <c r="L46" s="53" t="str">
        <f>IF(ISNUMBER($D46)=TRUE,'A-C &amp; Heat Pumps'!E49,"")</f>
        <v/>
      </c>
      <c r="M46" s="34" t="str">
        <f>'A-C &amp; Heat Pumps'!R49</f>
        <v/>
      </c>
    </row>
    <row r="47" spans="1:13" x14ac:dyDescent="0.2">
      <c r="A47" s="8" t="s">
        <v>61</v>
      </c>
      <c r="B47" s="7">
        <f t="shared" si="0"/>
        <v>0</v>
      </c>
      <c r="C47" s="7">
        <f>'A-C &amp; Heat Pumps'!B50</f>
        <v>45</v>
      </c>
      <c r="D47" s="7" t="str">
        <f>'A-C &amp; Heat Pumps'!C50</f>
        <v/>
      </c>
      <c r="E47" s="7" t="str">
        <f>'A-C &amp; Heat Pumps'!F50</f>
        <v/>
      </c>
      <c r="F47" s="7" t="str">
        <f>IF(ISNUMBER($D47)=TRUE,'A-C &amp; Heat Pumps'!G50,"")</f>
        <v/>
      </c>
      <c r="G47" s="7" t="str">
        <f>IF(ISNUMBER($D47)=TRUE,'A-C &amp; Heat Pumps'!S50,"")</f>
        <v/>
      </c>
      <c r="H47" s="88" t="str">
        <f>IF(ISNUMBER($D47)=TRUE,'A-C &amp; Heat Pumps'!T50,"")</f>
        <v/>
      </c>
      <c r="I47" s="37" t="str">
        <f>IFERROR(M47*MIN(Table_Measure_Caps[[#Totals],[Estimated Raw Incentive Total]], Table_Measure_Caps[[#Totals],[Gross Measure Cost Total]], Value_Project_CAP)/Table_Measure_Caps[[#Totals],[Estimated Raw Incentive Total]], "")</f>
        <v/>
      </c>
      <c r="J47" s="7" t="str">
        <f>IF(ISNUMBER($D47)=TRUE,'A-C &amp; Heat Pumps'!P50,"")</f>
        <v/>
      </c>
      <c r="K47" s="22" t="str">
        <f t="shared" si="1"/>
        <v>Version 4.0</v>
      </c>
      <c r="L47" s="53" t="str">
        <f>IF(ISNUMBER($D47)=TRUE,'A-C &amp; Heat Pumps'!E50,"")</f>
        <v/>
      </c>
      <c r="M47" s="34" t="str">
        <f>'A-C &amp; Heat Pumps'!R50</f>
        <v/>
      </c>
    </row>
    <row r="48" spans="1:13" x14ac:dyDescent="0.2">
      <c r="A48" s="8" t="s">
        <v>61</v>
      </c>
      <c r="B48" s="7">
        <f t="shared" si="0"/>
        <v>0</v>
      </c>
      <c r="C48" s="7">
        <f>'A-C &amp; Heat Pumps'!B51</f>
        <v>46</v>
      </c>
      <c r="D48" s="7" t="str">
        <f>'A-C &amp; Heat Pumps'!C51</f>
        <v/>
      </c>
      <c r="E48" s="7" t="str">
        <f>'A-C &amp; Heat Pumps'!F51</f>
        <v/>
      </c>
      <c r="F48" s="7" t="str">
        <f>IF(ISNUMBER($D48)=TRUE,'A-C &amp; Heat Pumps'!G51,"")</f>
        <v/>
      </c>
      <c r="G48" s="7" t="str">
        <f>IF(ISNUMBER($D48)=TRUE,'A-C &amp; Heat Pumps'!S51,"")</f>
        <v/>
      </c>
      <c r="H48" s="88" t="str">
        <f>IF(ISNUMBER($D48)=TRUE,'A-C &amp; Heat Pumps'!T51,"")</f>
        <v/>
      </c>
      <c r="I48" s="37" t="str">
        <f>IFERROR(M48*MIN(Table_Measure_Caps[[#Totals],[Estimated Raw Incentive Total]], Table_Measure_Caps[[#Totals],[Gross Measure Cost Total]], Value_Project_CAP)/Table_Measure_Caps[[#Totals],[Estimated Raw Incentive Total]], "")</f>
        <v/>
      </c>
      <c r="J48" s="7" t="str">
        <f>IF(ISNUMBER($D48)=TRUE,'A-C &amp; Heat Pumps'!P51,"")</f>
        <v/>
      </c>
      <c r="K48" s="22" t="str">
        <f t="shared" si="1"/>
        <v>Version 4.0</v>
      </c>
      <c r="L48" s="53" t="str">
        <f>IF(ISNUMBER($D48)=TRUE,'A-C &amp; Heat Pumps'!E51,"")</f>
        <v/>
      </c>
      <c r="M48" s="34" t="str">
        <f>'A-C &amp; Heat Pumps'!R51</f>
        <v/>
      </c>
    </row>
    <row r="49" spans="1:13" x14ac:dyDescent="0.2">
      <c r="A49" s="8" t="s">
        <v>61</v>
      </c>
      <c r="B49" s="7">
        <f t="shared" si="0"/>
        <v>0</v>
      </c>
      <c r="C49" s="7">
        <f>'A-C &amp; Heat Pumps'!B52</f>
        <v>47</v>
      </c>
      <c r="D49" s="7" t="str">
        <f>'A-C &amp; Heat Pumps'!C52</f>
        <v/>
      </c>
      <c r="E49" s="7" t="str">
        <f>'A-C &amp; Heat Pumps'!F52</f>
        <v/>
      </c>
      <c r="F49" s="7" t="str">
        <f>IF(ISNUMBER($D49)=TRUE,'A-C &amp; Heat Pumps'!G52,"")</f>
        <v/>
      </c>
      <c r="G49" s="7" t="str">
        <f>IF(ISNUMBER($D49)=TRUE,'A-C &amp; Heat Pumps'!S52,"")</f>
        <v/>
      </c>
      <c r="H49" s="88" t="str">
        <f>IF(ISNUMBER($D49)=TRUE,'A-C &amp; Heat Pumps'!T52,"")</f>
        <v/>
      </c>
      <c r="I49" s="37" t="str">
        <f>IFERROR(M49*MIN(Table_Measure_Caps[[#Totals],[Estimated Raw Incentive Total]], Table_Measure_Caps[[#Totals],[Gross Measure Cost Total]], Value_Project_CAP)/Table_Measure_Caps[[#Totals],[Estimated Raw Incentive Total]], "")</f>
        <v/>
      </c>
      <c r="J49" s="7" t="str">
        <f>IF(ISNUMBER($D49)=TRUE,'A-C &amp; Heat Pumps'!P52,"")</f>
        <v/>
      </c>
      <c r="K49" s="22" t="str">
        <f t="shared" si="1"/>
        <v>Version 4.0</v>
      </c>
      <c r="L49" s="53" t="str">
        <f>IF(ISNUMBER($D49)=TRUE,'A-C &amp; Heat Pumps'!E52,"")</f>
        <v/>
      </c>
      <c r="M49" s="34" t="str">
        <f>'A-C &amp; Heat Pumps'!R52</f>
        <v/>
      </c>
    </row>
    <row r="50" spans="1:13" x14ac:dyDescent="0.2">
      <c r="A50" s="8" t="s">
        <v>61</v>
      </c>
      <c r="B50" s="7">
        <f t="shared" si="0"/>
        <v>0</v>
      </c>
      <c r="C50" s="7">
        <f>'A-C &amp; Heat Pumps'!B53</f>
        <v>48</v>
      </c>
      <c r="D50" s="7" t="str">
        <f>'A-C &amp; Heat Pumps'!C53</f>
        <v/>
      </c>
      <c r="E50" s="7" t="str">
        <f>'A-C &amp; Heat Pumps'!F53</f>
        <v/>
      </c>
      <c r="F50" s="7" t="str">
        <f>IF(ISNUMBER($D50)=TRUE,'A-C &amp; Heat Pumps'!G53,"")</f>
        <v/>
      </c>
      <c r="G50" s="7" t="str">
        <f>IF(ISNUMBER($D50)=TRUE,'A-C &amp; Heat Pumps'!S53,"")</f>
        <v/>
      </c>
      <c r="H50" s="88" t="str">
        <f>IF(ISNUMBER($D50)=TRUE,'A-C &amp; Heat Pumps'!T53,"")</f>
        <v/>
      </c>
      <c r="I50" s="37" t="str">
        <f>IFERROR(M50*MIN(Table_Measure_Caps[[#Totals],[Estimated Raw Incentive Total]], Table_Measure_Caps[[#Totals],[Gross Measure Cost Total]], Value_Project_CAP)/Table_Measure_Caps[[#Totals],[Estimated Raw Incentive Total]], "")</f>
        <v/>
      </c>
      <c r="J50" s="7" t="str">
        <f>IF(ISNUMBER($D50)=TRUE,'A-C &amp; Heat Pumps'!P53,"")</f>
        <v/>
      </c>
      <c r="K50" s="22" t="str">
        <f t="shared" si="1"/>
        <v>Version 4.0</v>
      </c>
      <c r="L50" s="53" t="str">
        <f>IF(ISNUMBER($D50)=TRUE,'A-C &amp; Heat Pumps'!E53,"")</f>
        <v/>
      </c>
      <c r="M50" s="34" t="str">
        <f>'A-C &amp; Heat Pumps'!R53</f>
        <v/>
      </c>
    </row>
    <row r="51" spans="1:13" x14ac:dyDescent="0.2">
      <c r="A51" s="8" t="s">
        <v>61</v>
      </c>
      <c r="B51" s="7">
        <f t="shared" si="0"/>
        <v>0</v>
      </c>
      <c r="C51" s="7">
        <f>'A-C &amp; Heat Pumps'!B54</f>
        <v>49</v>
      </c>
      <c r="D51" s="7" t="str">
        <f>'A-C &amp; Heat Pumps'!C54</f>
        <v/>
      </c>
      <c r="E51" s="7" t="str">
        <f>'A-C &amp; Heat Pumps'!F54</f>
        <v/>
      </c>
      <c r="F51" s="7" t="str">
        <f>IF(ISNUMBER($D51)=TRUE,'A-C &amp; Heat Pumps'!G54,"")</f>
        <v/>
      </c>
      <c r="G51" s="7" t="str">
        <f>IF(ISNUMBER($D51)=TRUE,'A-C &amp; Heat Pumps'!S54,"")</f>
        <v/>
      </c>
      <c r="H51" s="88" t="str">
        <f>IF(ISNUMBER($D51)=TRUE,'A-C &amp; Heat Pumps'!T54,"")</f>
        <v/>
      </c>
      <c r="I51" s="37" t="str">
        <f>IFERROR(M51*MIN(Table_Measure_Caps[[#Totals],[Estimated Raw Incentive Total]], Table_Measure_Caps[[#Totals],[Gross Measure Cost Total]], Value_Project_CAP)/Table_Measure_Caps[[#Totals],[Estimated Raw Incentive Total]], "")</f>
        <v/>
      </c>
      <c r="J51" s="7" t="str">
        <f>IF(ISNUMBER($D51)=TRUE,'A-C &amp; Heat Pumps'!P54,"")</f>
        <v/>
      </c>
      <c r="K51" s="22" t="str">
        <f t="shared" si="1"/>
        <v>Version 4.0</v>
      </c>
      <c r="L51" s="53" t="str">
        <f>IF(ISNUMBER($D51)=TRUE,'A-C &amp; Heat Pumps'!E54,"")</f>
        <v/>
      </c>
      <c r="M51" s="34" t="str">
        <f>'A-C &amp; Heat Pumps'!R54</f>
        <v/>
      </c>
    </row>
    <row r="52" spans="1:13" x14ac:dyDescent="0.2">
      <c r="A52" s="8" t="s">
        <v>61</v>
      </c>
      <c r="B52" s="7">
        <f t="shared" si="0"/>
        <v>0</v>
      </c>
      <c r="C52" s="7">
        <f>'A-C &amp; Heat Pumps'!B55</f>
        <v>50</v>
      </c>
      <c r="D52" s="7" t="str">
        <f>'A-C &amp; Heat Pumps'!C55</f>
        <v/>
      </c>
      <c r="E52" s="7" t="str">
        <f>'A-C &amp; Heat Pumps'!F55</f>
        <v/>
      </c>
      <c r="F52" s="7" t="str">
        <f>IF(ISNUMBER($D52)=TRUE,'A-C &amp; Heat Pumps'!G55,"")</f>
        <v/>
      </c>
      <c r="G52" s="7" t="str">
        <f>IF(ISNUMBER($D52)=TRUE,'A-C &amp; Heat Pumps'!S55,"")</f>
        <v/>
      </c>
      <c r="H52" s="88" t="str">
        <f>IF(ISNUMBER($D52)=TRUE,'A-C &amp; Heat Pumps'!T55,"")</f>
        <v/>
      </c>
      <c r="I52" s="37" t="str">
        <f>IFERROR(M52*MIN(Table_Measure_Caps[[#Totals],[Estimated Raw Incentive Total]], Table_Measure_Caps[[#Totals],[Gross Measure Cost Total]], Value_Project_CAP)/Table_Measure_Caps[[#Totals],[Estimated Raw Incentive Total]], "")</f>
        <v/>
      </c>
      <c r="J52" s="7" t="str">
        <f>IF(ISNUMBER($D52)=TRUE,'A-C &amp; Heat Pumps'!P55,"")</f>
        <v/>
      </c>
      <c r="K52" s="22" t="str">
        <f t="shared" si="1"/>
        <v>Version 4.0</v>
      </c>
      <c r="L52" s="53" t="str">
        <f>IF(ISNUMBER($D52)=TRUE,'A-C &amp; Heat Pumps'!E55,"")</f>
        <v/>
      </c>
      <c r="M52" s="34" t="str">
        <f>'A-C &amp; Heat Pumps'!R55</f>
        <v/>
      </c>
    </row>
    <row r="53" spans="1:13" x14ac:dyDescent="0.2">
      <c r="A53" s="25" t="s">
        <v>279</v>
      </c>
      <c r="B53" s="23">
        <f t="shared" si="0"/>
        <v>0</v>
      </c>
      <c r="C53" s="23">
        <f>Chillers!B6</f>
        <v>1</v>
      </c>
      <c r="D53" s="23" t="str">
        <f>Chillers!C6</f>
        <v/>
      </c>
      <c r="E53" s="23" t="str">
        <f>Chillers!F6</f>
        <v/>
      </c>
      <c r="F53" s="24">
        <f>Chillers!G6</f>
        <v>0</v>
      </c>
      <c r="G53" s="24" t="str">
        <f>Chillers!O6</f>
        <v/>
      </c>
      <c r="H53" s="89" t="str">
        <f>Chillers!P6</f>
        <v/>
      </c>
      <c r="I53" s="38" t="str">
        <f>IFERROR(M53*MIN(Table_Measure_Caps[[#Totals],[Estimated Raw Incentive Total]], Table_Measure_Caps[[#Totals],[Gross Measure Cost Total]], Value_Project_CAP)/Table_Measure_Caps[[#Totals],[Estimated Raw Incentive Total]], "")</f>
        <v/>
      </c>
      <c r="J53" s="23">
        <f>Chillers!L6</f>
        <v>0</v>
      </c>
      <c r="K53" s="22" t="str">
        <f t="shared" si="1"/>
        <v>Version 4.0</v>
      </c>
      <c r="L53" s="60" t="str">
        <f>IF(ISNUMBER($D53)=TRUE,Chillers!E6,"")</f>
        <v/>
      </c>
      <c r="M53" s="59" t="str">
        <f>Chillers!N6</f>
        <v/>
      </c>
    </row>
    <row r="54" spans="1:13" x14ac:dyDescent="0.2">
      <c r="A54" s="25" t="s">
        <v>279</v>
      </c>
      <c r="B54" s="23">
        <f t="shared" ref="B54:B102" si="2">Input_ProjectNumber</f>
        <v>0</v>
      </c>
      <c r="C54" s="23">
        <f>Chillers!B7</f>
        <v>2</v>
      </c>
      <c r="D54" s="23" t="str">
        <f>Chillers!C7</f>
        <v/>
      </c>
      <c r="E54" s="23" t="str">
        <f>Chillers!F7</f>
        <v/>
      </c>
      <c r="F54" s="24">
        <f>Chillers!G7</f>
        <v>0</v>
      </c>
      <c r="G54" s="24" t="str">
        <f>Chillers!O7</f>
        <v/>
      </c>
      <c r="H54" s="89" t="str">
        <f>Chillers!P7</f>
        <v/>
      </c>
      <c r="I54" s="38" t="str">
        <f>IFERROR(M54*MIN(Table_Measure_Caps[[#Totals],[Estimated Raw Incentive Total]], Table_Measure_Caps[[#Totals],[Gross Measure Cost Total]], Value_Project_CAP)/Table_Measure_Caps[[#Totals],[Estimated Raw Incentive Total]], "")</f>
        <v/>
      </c>
      <c r="J54" s="23">
        <f>Chillers!L7</f>
        <v>0</v>
      </c>
      <c r="K54" s="22" t="str">
        <f t="shared" si="1"/>
        <v>Version 4.0</v>
      </c>
      <c r="L54" s="60" t="str">
        <f>IF(ISNUMBER($D54)=TRUE,Chillers!E7,"")</f>
        <v/>
      </c>
      <c r="M54" s="59" t="str">
        <f>Chillers!N7</f>
        <v/>
      </c>
    </row>
    <row r="55" spans="1:13" x14ac:dyDescent="0.2">
      <c r="A55" s="25" t="s">
        <v>279</v>
      </c>
      <c r="B55" s="23">
        <f t="shared" si="2"/>
        <v>0</v>
      </c>
      <c r="C55" s="23">
        <f>Chillers!B8</f>
        <v>3</v>
      </c>
      <c r="D55" s="23" t="str">
        <f>Chillers!C8</f>
        <v/>
      </c>
      <c r="E55" s="23" t="str">
        <f>Chillers!F8</f>
        <v/>
      </c>
      <c r="F55" s="24">
        <f>Chillers!G8</f>
        <v>0</v>
      </c>
      <c r="G55" s="24" t="str">
        <f>Chillers!O8</f>
        <v/>
      </c>
      <c r="H55" s="89" t="str">
        <f>Chillers!P8</f>
        <v/>
      </c>
      <c r="I55" s="38" t="str">
        <f>IFERROR(M55*MIN(Table_Measure_Caps[[#Totals],[Estimated Raw Incentive Total]], Table_Measure_Caps[[#Totals],[Gross Measure Cost Total]], Value_Project_CAP)/Table_Measure_Caps[[#Totals],[Estimated Raw Incentive Total]], "")</f>
        <v/>
      </c>
      <c r="J55" s="23">
        <f>Chillers!L8</f>
        <v>0</v>
      </c>
      <c r="K55" s="22" t="str">
        <f t="shared" si="1"/>
        <v>Version 4.0</v>
      </c>
      <c r="L55" s="60" t="str">
        <f>IF(ISNUMBER($D55)=TRUE,Chillers!E8,"")</f>
        <v/>
      </c>
      <c r="M55" s="59" t="str">
        <f>Chillers!N8</f>
        <v/>
      </c>
    </row>
    <row r="56" spans="1:13" x14ac:dyDescent="0.2">
      <c r="A56" s="25" t="s">
        <v>279</v>
      </c>
      <c r="B56" s="23">
        <f t="shared" si="2"/>
        <v>0</v>
      </c>
      <c r="C56" s="23">
        <f>Chillers!B9</f>
        <v>4</v>
      </c>
      <c r="D56" s="23" t="str">
        <f>Chillers!C9</f>
        <v/>
      </c>
      <c r="E56" s="23" t="str">
        <f>Chillers!F9</f>
        <v/>
      </c>
      <c r="F56" s="24">
        <f>Chillers!G9</f>
        <v>0</v>
      </c>
      <c r="G56" s="24" t="str">
        <f>Chillers!O9</f>
        <v/>
      </c>
      <c r="H56" s="89" t="str">
        <f>Chillers!P9</f>
        <v/>
      </c>
      <c r="I56" s="38" t="str">
        <f>IFERROR(M56*MIN(Table_Measure_Caps[[#Totals],[Estimated Raw Incentive Total]], Table_Measure_Caps[[#Totals],[Gross Measure Cost Total]], Value_Project_CAP)/Table_Measure_Caps[[#Totals],[Estimated Raw Incentive Total]], "")</f>
        <v/>
      </c>
      <c r="J56" s="23">
        <f>Chillers!L9</f>
        <v>0</v>
      </c>
      <c r="K56" s="22" t="str">
        <f t="shared" si="1"/>
        <v>Version 4.0</v>
      </c>
      <c r="L56" s="60" t="str">
        <f>IF(ISNUMBER($D56)=TRUE,Chillers!E9,"")</f>
        <v/>
      </c>
      <c r="M56" s="59" t="str">
        <f>Chillers!N9</f>
        <v/>
      </c>
    </row>
    <row r="57" spans="1:13" x14ac:dyDescent="0.2">
      <c r="A57" s="25" t="s">
        <v>279</v>
      </c>
      <c r="B57" s="23">
        <f t="shared" si="2"/>
        <v>0</v>
      </c>
      <c r="C57" s="23">
        <f>Chillers!B10</f>
        <v>5</v>
      </c>
      <c r="D57" s="23" t="str">
        <f>Chillers!C10</f>
        <v/>
      </c>
      <c r="E57" s="23" t="str">
        <f>Chillers!F10</f>
        <v/>
      </c>
      <c r="F57" s="24">
        <f>Chillers!G10</f>
        <v>0</v>
      </c>
      <c r="G57" s="24" t="str">
        <f>Chillers!O10</f>
        <v/>
      </c>
      <c r="H57" s="89" t="str">
        <f>Chillers!P10</f>
        <v/>
      </c>
      <c r="I57" s="38" t="str">
        <f>IFERROR(M57*MIN(Table_Measure_Caps[[#Totals],[Estimated Raw Incentive Total]], Table_Measure_Caps[[#Totals],[Gross Measure Cost Total]], Value_Project_CAP)/Table_Measure_Caps[[#Totals],[Estimated Raw Incentive Total]], "")</f>
        <v/>
      </c>
      <c r="J57" s="23">
        <f>Chillers!L10</f>
        <v>0</v>
      </c>
      <c r="K57" s="22" t="str">
        <f t="shared" si="1"/>
        <v>Version 4.0</v>
      </c>
      <c r="L57" s="60" t="str">
        <f>IF(ISNUMBER($D57)=TRUE,Chillers!E10,"")</f>
        <v/>
      </c>
      <c r="M57" s="59" t="str">
        <f>Chillers!N10</f>
        <v/>
      </c>
    </row>
    <row r="58" spans="1:13" x14ac:dyDescent="0.2">
      <c r="A58" s="25" t="s">
        <v>279</v>
      </c>
      <c r="B58" s="23">
        <f t="shared" si="2"/>
        <v>0</v>
      </c>
      <c r="C58" s="23">
        <f>Chillers!B11</f>
        <v>6</v>
      </c>
      <c r="D58" s="23" t="str">
        <f>Chillers!C11</f>
        <v/>
      </c>
      <c r="E58" s="23" t="str">
        <f>Chillers!F11</f>
        <v/>
      </c>
      <c r="F58" s="24">
        <f>Chillers!G11</f>
        <v>0</v>
      </c>
      <c r="G58" s="24" t="str">
        <f>Chillers!O11</f>
        <v/>
      </c>
      <c r="H58" s="89" t="str">
        <f>Chillers!P11</f>
        <v/>
      </c>
      <c r="I58" s="38" t="str">
        <f>IFERROR(M58*MIN(Table_Measure_Caps[[#Totals],[Estimated Raw Incentive Total]], Table_Measure_Caps[[#Totals],[Gross Measure Cost Total]], Value_Project_CAP)/Table_Measure_Caps[[#Totals],[Estimated Raw Incentive Total]], "")</f>
        <v/>
      </c>
      <c r="J58" s="23">
        <f>Chillers!L11</f>
        <v>0</v>
      </c>
      <c r="K58" s="22" t="str">
        <f t="shared" si="1"/>
        <v>Version 4.0</v>
      </c>
      <c r="L58" s="60" t="str">
        <f>IF(ISNUMBER($D58)=TRUE,Chillers!E11,"")</f>
        <v/>
      </c>
      <c r="M58" s="59" t="str">
        <f>Chillers!N11</f>
        <v/>
      </c>
    </row>
    <row r="59" spans="1:13" x14ac:dyDescent="0.2">
      <c r="A59" s="25" t="s">
        <v>279</v>
      </c>
      <c r="B59" s="23">
        <f t="shared" si="2"/>
        <v>0</v>
      </c>
      <c r="C59" s="23">
        <f>Chillers!B12</f>
        <v>7</v>
      </c>
      <c r="D59" s="23" t="str">
        <f>Chillers!C12</f>
        <v/>
      </c>
      <c r="E59" s="23" t="str">
        <f>Chillers!F12</f>
        <v/>
      </c>
      <c r="F59" s="24">
        <f>Chillers!G12</f>
        <v>0</v>
      </c>
      <c r="G59" s="24" t="str">
        <f>Chillers!O12</f>
        <v/>
      </c>
      <c r="H59" s="89" t="str">
        <f>Chillers!P12</f>
        <v/>
      </c>
      <c r="I59" s="38" t="str">
        <f>IFERROR(M59*MIN(Table_Measure_Caps[[#Totals],[Estimated Raw Incentive Total]], Table_Measure_Caps[[#Totals],[Gross Measure Cost Total]], Value_Project_CAP)/Table_Measure_Caps[[#Totals],[Estimated Raw Incentive Total]], "")</f>
        <v/>
      </c>
      <c r="J59" s="23">
        <f>Chillers!L12</f>
        <v>0</v>
      </c>
      <c r="K59" s="22" t="str">
        <f t="shared" si="1"/>
        <v>Version 4.0</v>
      </c>
      <c r="L59" s="60" t="str">
        <f>IF(ISNUMBER($D59)=TRUE,Chillers!E12,"")</f>
        <v/>
      </c>
      <c r="M59" s="59" t="str">
        <f>Chillers!N12</f>
        <v/>
      </c>
    </row>
    <row r="60" spans="1:13" x14ac:dyDescent="0.2">
      <c r="A60" s="25" t="s">
        <v>279</v>
      </c>
      <c r="B60" s="23">
        <f t="shared" si="2"/>
        <v>0</v>
      </c>
      <c r="C60" s="23">
        <f>Chillers!B13</f>
        <v>8</v>
      </c>
      <c r="D60" s="23" t="str">
        <f>Chillers!C13</f>
        <v/>
      </c>
      <c r="E60" s="23" t="str">
        <f>Chillers!F13</f>
        <v/>
      </c>
      <c r="F60" s="24">
        <f>Chillers!G13</f>
        <v>0</v>
      </c>
      <c r="G60" s="24" t="str">
        <f>Chillers!O13</f>
        <v/>
      </c>
      <c r="H60" s="89" t="str">
        <f>Chillers!P13</f>
        <v/>
      </c>
      <c r="I60" s="38" t="str">
        <f>IFERROR(M60*MIN(Table_Measure_Caps[[#Totals],[Estimated Raw Incentive Total]], Table_Measure_Caps[[#Totals],[Gross Measure Cost Total]], Value_Project_CAP)/Table_Measure_Caps[[#Totals],[Estimated Raw Incentive Total]], "")</f>
        <v/>
      </c>
      <c r="J60" s="23">
        <f>Chillers!L13</f>
        <v>0</v>
      </c>
      <c r="K60" s="22" t="str">
        <f t="shared" si="1"/>
        <v>Version 4.0</v>
      </c>
      <c r="L60" s="60" t="str">
        <f>IF(ISNUMBER($D60)=TRUE,Chillers!E13,"")</f>
        <v/>
      </c>
      <c r="M60" s="59" t="str">
        <f>Chillers!N13</f>
        <v/>
      </c>
    </row>
    <row r="61" spans="1:13" x14ac:dyDescent="0.2">
      <c r="A61" s="25" t="s">
        <v>279</v>
      </c>
      <c r="B61" s="23">
        <f t="shared" si="2"/>
        <v>0</v>
      </c>
      <c r="C61" s="23">
        <f>Chillers!B14</f>
        <v>9</v>
      </c>
      <c r="D61" s="23" t="str">
        <f>Chillers!C14</f>
        <v/>
      </c>
      <c r="E61" s="23" t="str">
        <f>Chillers!F14</f>
        <v/>
      </c>
      <c r="F61" s="24">
        <f>Chillers!G14</f>
        <v>0</v>
      </c>
      <c r="G61" s="24" t="str">
        <f>Chillers!O14</f>
        <v/>
      </c>
      <c r="H61" s="89" t="str">
        <f>Chillers!P14</f>
        <v/>
      </c>
      <c r="I61" s="38" t="str">
        <f>IFERROR(M61*MIN(Table_Measure_Caps[[#Totals],[Estimated Raw Incentive Total]], Table_Measure_Caps[[#Totals],[Gross Measure Cost Total]], Value_Project_CAP)/Table_Measure_Caps[[#Totals],[Estimated Raw Incentive Total]], "")</f>
        <v/>
      </c>
      <c r="J61" s="23">
        <f>Chillers!L14</f>
        <v>0</v>
      </c>
      <c r="K61" s="22" t="str">
        <f t="shared" si="1"/>
        <v>Version 4.0</v>
      </c>
      <c r="L61" s="60" t="str">
        <f>IF(ISNUMBER($D61)=TRUE,Chillers!E14,"")</f>
        <v/>
      </c>
      <c r="M61" s="59" t="str">
        <f>Chillers!N14</f>
        <v/>
      </c>
    </row>
    <row r="62" spans="1:13" x14ac:dyDescent="0.2">
      <c r="A62" s="25" t="s">
        <v>279</v>
      </c>
      <c r="B62" s="23">
        <f t="shared" si="2"/>
        <v>0</v>
      </c>
      <c r="C62" s="23">
        <f>Chillers!B15</f>
        <v>10</v>
      </c>
      <c r="D62" s="23" t="str">
        <f>Chillers!C15</f>
        <v/>
      </c>
      <c r="E62" s="23" t="str">
        <f>Chillers!F15</f>
        <v/>
      </c>
      <c r="F62" s="24">
        <f>Chillers!G15</f>
        <v>0</v>
      </c>
      <c r="G62" s="24" t="str">
        <f>Chillers!O15</f>
        <v/>
      </c>
      <c r="H62" s="89" t="str">
        <f>Chillers!P15</f>
        <v/>
      </c>
      <c r="I62" s="38" t="str">
        <f>IFERROR(M62*MIN(Table_Measure_Caps[[#Totals],[Estimated Raw Incentive Total]], Table_Measure_Caps[[#Totals],[Gross Measure Cost Total]], Value_Project_CAP)/Table_Measure_Caps[[#Totals],[Estimated Raw Incentive Total]], "")</f>
        <v/>
      </c>
      <c r="J62" s="23">
        <f>Chillers!L15</f>
        <v>0</v>
      </c>
      <c r="K62" s="22" t="str">
        <f t="shared" si="1"/>
        <v>Version 4.0</v>
      </c>
      <c r="L62" s="60" t="str">
        <f>IF(ISNUMBER($D62)=TRUE,Chillers!E15,"")</f>
        <v/>
      </c>
      <c r="M62" s="59" t="str">
        <f>Chillers!N15</f>
        <v/>
      </c>
    </row>
    <row r="63" spans="1:13" x14ac:dyDescent="0.2">
      <c r="A63" s="25" t="s">
        <v>279</v>
      </c>
      <c r="B63" s="23">
        <f t="shared" si="2"/>
        <v>0</v>
      </c>
      <c r="C63" s="23">
        <f>Chillers!B16</f>
        <v>11</v>
      </c>
      <c r="D63" s="23" t="str">
        <f>Chillers!C16</f>
        <v/>
      </c>
      <c r="E63" s="23" t="str">
        <f>Chillers!F16</f>
        <v/>
      </c>
      <c r="F63" s="24">
        <f>Chillers!G16</f>
        <v>0</v>
      </c>
      <c r="G63" s="24" t="str">
        <f>Chillers!O16</f>
        <v/>
      </c>
      <c r="H63" s="89" t="str">
        <f>Chillers!P16</f>
        <v/>
      </c>
      <c r="I63" s="38" t="str">
        <f>IFERROR(M63*MIN(Table_Measure_Caps[[#Totals],[Estimated Raw Incentive Total]], Table_Measure_Caps[[#Totals],[Gross Measure Cost Total]], Value_Project_CAP)/Table_Measure_Caps[[#Totals],[Estimated Raw Incentive Total]], "")</f>
        <v/>
      </c>
      <c r="J63" s="23">
        <f>Chillers!L16</f>
        <v>0</v>
      </c>
      <c r="K63" s="22" t="str">
        <f t="shared" si="1"/>
        <v>Version 4.0</v>
      </c>
      <c r="L63" s="60" t="str">
        <f>IF(ISNUMBER($D63)=TRUE,Chillers!E16,"")</f>
        <v/>
      </c>
      <c r="M63" s="59" t="str">
        <f>Chillers!N16</f>
        <v/>
      </c>
    </row>
    <row r="64" spans="1:13" x14ac:dyDescent="0.2">
      <c r="A64" s="25" t="s">
        <v>279</v>
      </c>
      <c r="B64" s="23">
        <f t="shared" si="2"/>
        <v>0</v>
      </c>
      <c r="C64" s="23">
        <f>Chillers!B17</f>
        <v>12</v>
      </c>
      <c r="D64" s="23" t="str">
        <f>Chillers!C17</f>
        <v/>
      </c>
      <c r="E64" s="23" t="str">
        <f>Chillers!F17</f>
        <v/>
      </c>
      <c r="F64" s="24">
        <f>Chillers!G17</f>
        <v>0</v>
      </c>
      <c r="G64" s="24" t="str">
        <f>Chillers!O17</f>
        <v/>
      </c>
      <c r="H64" s="89" t="str">
        <f>Chillers!P17</f>
        <v/>
      </c>
      <c r="I64" s="38" t="str">
        <f>IFERROR(M64*MIN(Table_Measure_Caps[[#Totals],[Estimated Raw Incentive Total]], Table_Measure_Caps[[#Totals],[Gross Measure Cost Total]], Value_Project_CAP)/Table_Measure_Caps[[#Totals],[Estimated Raw Incentive Total]], "")</f>
        <v/>
      </c>
      <c r="J64" s="23">
        <f>Chillers!L17</f>
        <v>0</v>
      </c>
      <c r="K64" s="22" t="str">
        <f t="shared" si="1"/>
        <v>Version 4.0</v>
      </c>
      <c r="L64" s="60" t="str">
        <f>IF(ISNUMBER($D64)=TRUE,Chillers!E17,"")</f>
        <v/>
      </c>
      <c r="M64" s="59" t="str">
        <f>Chillers!N17</f>
        <v/>
      </c>
    </row>
    <row r="65" spans="1:13" x14ac:dyDescent="0.2">
      <c r="A65" s="25" t="s">
        <v>279</v>
      </c>
      <c r="B65" s="23">
        <f t="shared" si="2"/>
        <v>0</v>
      </c>
      <c r="C65" s="23">
        <f>Chillers!B18</f>
        <v>13</v>
      </c>
      <c r="D65" s="23" t="str">
        <f>Chillers!C18</f>
        <v/>
      </c>
      <c r="E65" s="23" t="str">
        <f>Chillers!F18</f>
        <v/>
      </c>
      <c r="F65" s="24">
        <f>Chillers!G18</f>
        <v>0</v>
      </c>
      <c r="G65" s="24" t="str">
        <f>Chillers!O18</f>
        <v/>
      </c>
      <c r="H65" s="89" t="str">
        <f>Chillers!P18</f>
        <v/>
      </c>
      <c r="I65" s="38" t="str">
        <f>IFERROR(M65*MIN(Table_Measure_Caps[[#Totals],[Estimated Raw Incentive Total]], Table_Measure_Caps[[#Totals],[Gross Measure Cost Total]], Value_Project_CAP)/Table_Measure_Caps[[#Totals],[Estimated Raw Incentive Total]], "")</f>
        <v/>
      </c>
      <c r="J65" s="23">
        <f>Chillers!L18</f>
        <v>0</v>
      </c>
      <c r="K65" s="22" t="str">
        <f t="shared" si="1"/>
        <v>Version 4.0</v>
      </c>
      <c r="L65" s="60" t="str">
        <f>IF(ISNUMBER($D65)=TRUE,Chillers!E18,"")</f>
        <v/>
      </c>
      <c r="M65" s="59" t="str">
        <f>Chillers!N18</f>
        <v/>
      </c>
    </row>
    <row r="66" spans="1:13" x14ac:dyDescent="0.2">
      <c r="A66" s="25" t="s">
        <v>279</v>
      </c>
      <c r="B66" s="23">
        <f t="shared" si="2"/>
        <v>0</v>
      </c>
      <c r="C66" s="23">
        <f>Chillers!B19</f>
        <v>14</v>
      </c>
      <c r="D66" s="23" t="str">
        <f>Chillers!C19</f>
        <v/>
      </c>
      <c r="E66" s="23" t="str">
        <f>Chillers!F19</f>
        <v/>
      </c>
      <c r="F66" s="24">
        <f>Chillers!G19</f>
        <v>0</v>
      </c>
      <c r="G66" s="24" t="str">
        <f>Chillers!O19</f>
        <v/>
      </c>
      <c r="H66" s="89" t="str">
        <f>Chillers!P19</f>
        <v/>
      </c>
      <c r="I66" s="38" t="str">
        <f>IFERROR(M66*MIN(Table_Measure_Caps[[#Totals],[Estimated Raw Incentive Total]], Table_Measure_Caps[[#Totals],[Gross Measure Cost Total]], Value_Project_CAP)/Table_Measure_Caps[[#Totals],[Estimated Raw Incentive Total]], "")</f>
        <v/>
      </c>
      <c r="J66" s="23">
        <f>Chillers!L19</f>
        <v>0</v>
      </c>
      <c r="K66" s="22" t="str">
        <f t="shared" ref="K66:K129" si="3">Value_Application_Version</f>
        <v>Version 4.0</v>
      </c>
      <c r="L66" s="60" t="str">
        <f>IF(ISNUMBER($D66)=TRUE,Chillers!E19,"")</f>
        <v/>
      </c>
      <c r="M66" s="59" t="str">
        <f>Chillers!N19</f>
        <v/>
      </c>
    </row>
    <row r="67" spans="1:13" x14ac:dyDescent="0.2">
      <c r="A67" s="25" t="s">
        <v>279</v>
      </c>
      <c r="B67" s="23">
        <f t="shared" si="2"/>
        <v>0</v>
      </c>
      <c r="C67" s="23">
        <f>Chillers!B20</f>
        <v>15</v>
      </c>
      <c r="D67" s="23" t="str">
        <f>Chillers!C20</f>
        <v/>
      </c>
      <c r="E67" s="23" t="str">
        <f>Chillers!F20</f>
        <v/>
      </c>
      <c r="F67" s="24">
        <f>Chillers!G20</f>
        <v>0</v>
      </c>
      <c r="G67" s="24" t="str">
        <f>Chillers!O20</f>
        <v/>
      </c>
      <c r="H67" s="89" t="str">
        <f>Chillers!P20</f>
        <v/>
      </c>
      <c r="I67" s="38" t="str">
        <f>IFERROR(M67*MIN(Table_Measure_Caps[[#Totals],[Estimated Raw Incentive Total]], Table_Measure_Caps[[#Totals],[Gross Measure Cost Total]], Value_Project_CAP)/Table_Measure_Caps[[#Totals],[Estimated Raw Incentive Total]], "")</f>
        <v/>
      </c>
      <c r="J67" s="23">
        <f>Chillers!L20</f>
        <v>0</v>
      </c>
      <c r="K67" s="22" t="str">
        <f t="shared" si="3"/>
        <v>Version 4.0</v>
      </c>
      <c r="L67" s="60" t="str">
        <f>IF(ISNUMBER($D67)=TRUE,Chillers!E20,"")</f>
        <v/>
      </c>
      <c r="M67" s="59" t="str">
        <f>Chillers!N20</f>
        <v/>
      </c>
    </row>
    <row r="68" spans="1:13" x14ac:dyDescent="0.2">
      <c r="A68" s="25" t="s">
        <v>279</v>
      </c>
      <c r="B68" s="23">
        <f t="shared" si="2"/>
        <v>0</v>
      </c>
      <c r="C68" s="23">
        <f>Chillers!B21</f>
        <v>16</v>
      </c>
      <c r="D68" s="23" t="str">
        <f>Chillers!C21</f>
        <v/>
      </c>
      <c r="E68" s="23" t="str">
        <f>Chillers!F21</f>
        <v/>
      </c>
      <c r="F68" s="24">
        <f>Chillers!G21</f>
        <v>0</v>
      </c>
      <c r="G68" s="24" t="str">
        <f>Chillers!O21</f>
        <v/>
      </c>
      <c r="H68" s="89" t="str">
        <f>Chillers!P21</f>
        <v/>
      </c>
      <c r="I68" s="38" t="str">
        <f>IFERROR(M68*MIN(Table_Measure_Caps[[#Totals],[Estimated Raw Incentive Total]], Table_Measure_Caps[[#Totals],[Gross Measure Cost Total]], Value_Project_CAP)/Table_Measure_Caps[[#Totals],[Estimated Raw Incentive Total]], "")</f>
        <v/>
      </c>
      <c r="J68" s="23">
        <f>Chillers!L21</f>
        <v>0</v>
      </c>
      <c r="K68" s="22" t="str">
        <f t="shared" si="3"/>
        <v>Version 4.0</v>
      </c>
      <c r="L68" s="60" t="str">
        <f>IF(ISNUMBER($D68)=TRUE,Chillers!E21,"")</f>
        <v/>
      </c>
      <c r="M68" s="59" t="str">
        <f>Chillers!N21</f>
        <v/>
      </c>
    </row>
    <row r="69" spans="1:13" x14ac:dyDescent="0.2">
      <c r="A69" s="25" t="s">
        <v>279</v>
      </c>
      <c r="B69" s="23">
        <f t="shared" si="2"/>
        <v>0</v>
      </c>
      <c r="C69" s="23">
        <f>Chillers!B22</f>
        <v>17</v>
      </c>
      <c r="D69" s="23" t="str">
        <f>Chillers!C22</f>
        <v/>
      </c>
      <c r="E69" s="23" t="str">
        <f>Chillers!F22</f>
        <v/>
      </c>
      <c r="F69" s="24">
        <f>Chillers!G22</f>
        <v>0</v>
      </c>
      <c r="G69" s="24" t="str">
        <f>Chillers!O22</f>
        <v/>
      </c>
      <c r="H69" s="89" t="str">
        <f>Chillers!P22</f>
        <v/>
      </c>
      <c r="I69" s="38" t="str">
        <f>IFERROR(M69*MIN(Table_Measure_Caps[[#Totals],[Estimated Raw Incentive Total]], Table_Measure_Caps[[#Totals],[Gross Measure Cost Total]], Value_Project_CAP)/Table_Measure_Caps[[#Totals],[Estimated Raw Incentive Total]], "")</f>
        <v/>
      </c>
      <c r="J69" s="23">
        <f>Chillers!L22</f>
        <v>0</v>
      </c>
      <c r="K69" s="22" t="str">
        <f t="shared" si="3"/>
        <v>Version 4.0</v>
      </c>
      <c r="L69" s="60" t="str">
        <f>IF(ISNUMBER($D69)=TRUE,Chillers!E22,"")</f>
        <v/>
      </c>
      <c r="M69" s="59" t="str">
        <f>Chillers!N22</f>
        <v/>
      </c>
    </row>
    <row r="70" spans="1:13" x14ac:dyDescent="0.2">
      <c r="A70" s="25" t="s">
        <v>279</v>
      </c>
      <c r="B70" s="23">
        <f t="shared" si="2"/>
        <v>0</v>
      </c>
      <c r="C70" s="23">
        <f>Chillers!B23</f>
        <v>18</v>
      </c>
      <c r="D70" s="23" t="str">
        <f>Chillers!C23</f>
        <v/>
      </c>
      <c r="E70" s="23" t="str">
        <f>Chillers!F23</f>
        <v/>
      </c>
      <c r="F70" s="24">
        <f>Chillers!G23</f>
        <v>0</v>
      </c>
      <c r="G70" s="24" t="str">
        <f>Chillers!O23</f>
        <v/>
      </c>
      <c r="H70" s="89" t="str">
        <f>Chillers!P23</f>
        <v/>
      </c>
      <c r="I70" s="38" t="str">
        <f>IFERROR(M70*MIN(Table_Measure_Caps[[#Totals],[Estimated Raw Incentive Total]], Table_Measure_Caps[[#Totals],[Gross Measure Cost Total]], Value_Project_CAP)/Table_Measure_Caps[[#Totals],[Estimated Raw Incentive Total]], "")</f>
        <v/>
      </c>
      <c r="J70" s="23">
        <f>Chillers!L23</f>
        <v>0</v>
      </c>
      <c r="K70" s="22" t="str">
        <f t="shared" si="3"/>
        <v>Version 4.0</v>
      </c>
      <c r="L70" s="60" t="str">
        <f>IF(ISNUMBER($D70)=TRUE,Chillers!E23,"")</f>
        <v/>
      </c>
      <c r="M70" s="59" t="str">
        <f>Chillers!N23</f>
        <v/>
      </c>
    </row>
    <row r="71" spans="1:13" x14ac:dyDescent="0.2">
      <c r="A71" s="25" t="s">
        <v>279</v>
      </c>
      <c r="B71" s="23">
        <f t="shared" si="2"/>
        <v>0</v>
      </c>
      <c r="C71" s="23">
        <f>Chillers!B24</f>
        <v>19</v>
      </c>
      <c r="D71" s="23" t="str">
        <f>Chillers!C24</f>
        <v/>
      </c>
      <c r="E71" s="23" t="str">
        <f>Chillers!F24</f>
        <v/>
      </c>
      <c r="F71" s="24">
        <f>Chillers!G24</f>
        <v>0</v>
      </c>
      <c r="G71" s="24" t="str">
        <f>Chillers!O24</f>
        <v/>
      </c>
      <c r="H71" s="89" t="str">
        <f>Chillers!P24</f>
        <v/>
      </c>
      <c r="I71" s="38" t="str">
        <f>IFERROR(M71*MIN(Table_Measure_Caps[[#Totals],[Estimated Raw Incentive Total]], Table_Measure_Caps[[#Totals],[Gross Measure Cost Total]], Value_Project_CAP)/Table_Measure_Caps[[#Totals],[Estimated Raw Incentive Total]], "")</f>
        <v/>
      </c>
      <c r="J71" s="23">
        <f>Chillers!L24</f>
        <v>0</v>
      </c>
      <c r="K71" s="22" t="str">
        <f t="shared" si="3"/>
        <v>Version 4.0</v>
      </c>
      <c r="L71" s="60" t="str">
        <f>IF(ISNUMBER($D71)=TRUE,Chillers!E24,"")</f>
        <v/>
      </c>
      <c r="M71" s="59" t="str">
        <f>Chillers!N24</f>
        <v/>
      </c>
    </row>
    <row r="72" spans="1:13" x14ac:dyDescent="0.2">
      <c r="A72" s="25" t="s">
        <v>279</v>
      </c>
      <c r="B72" s="23">
        <f t="shared" si="2"/>
        <v>0</v>
      </c>
      <c r="C72" s="23">
        <f>Chillers!B25</f>
        <v>20</v>
      </c>
      <c r="D72" s="23" t="str">
        <f>Chillers!C25</f>
        <v/>
      </c>
      <c r="E72" s="23" t="str">
        <f>Chillers!F25</f>
        <v/>
      </c>
      <c r="F72" s="24">
        <f>Chillers!G25</f>
        <v>0</v>
      </c>
      <c r="G72" s="24" t="str">
        <f>Chillers!O25</f>
        <v/>
      </c>
      <c r="H72" s="89" t="str">
        <f>Chillers!P25</f>
        <v/>
      </c>
      <c r="I72" s="38" t="str">
        <f>IFERROR(M72*MIN(Table_Measure_Caps[[#Totals],[Estimated Raw Incentive Total]], Table_Measure_Caps[[#Totals],[Gross Measure Cost Total]], Value_Project_CAP)/Table_Measure_Caps[[#Totals],[Estimated Raw Incentive Total]], "")</f>
        <v/>
      </c>
      <c r="J72" s="23">
        <f>Chillers!L25</f>
        <v>0</v>
      </c>
      <c r="K72" s="22" t="str">
        <f t="shared" si="3"/>
        <v>Version 4.0</v>
      </c>
      <c r="L72" s="60" t="str">
        <f>IF(ISNUMBER($D72)=TRUE,Chillers!E25,"")</f>
        <v/>
      </c>
      <c r="M72" s="59" t="str">
        <f>Chillers!N25</f>
        <v/>
      </c>
    </row>
    <row r="73" spans="1:13" x14ac:dyDescent="0.2">
      <c r="A73" s="25" t="s">
        <v>279</v>
      </c>
      <c r="B73" s="23">
        <f t="shared" si="2"/>
        <v>0</v>
      </c>
      <c r="C73" s="23">
        <f>Chillers!B26</f>
        <v>21</v>
      </c>
      <c r="D73" s="23" t="str">
        <f>Chillers!C26</f>
        <v/>
      </c>
      <c r="E73" s="23" t="str">
        <f>Chillers!F26</f>
        <v/>
      </c>
      <c r="F73" s="24">
        <f>Chillers!G26</f>
        <v>0</v>
      </c>
      <c r="G73" s="24" t="str">
        <f>Chillers!O26</f>
        <v/>
      </c>
      <c r="H73" s="89" t="str">
        <f>Chillers!P26</f>
        <v/>
      </c>
      <c r="I73" s="38" t="str">
        <f>IFERROR(M73*MIN(Table_Measure_Caps[[#Totals],[Estimated Raw Incentive Total]], Table_Measure_Caps[[#Totals],[Gross Measure Cost Total]], Value_Project_CAP)/Table_Measure_Caps[[#Totals],[Estimated Raw Incentive Total]], "")</f>
        <v/>
      </c>
      <c r="J73" s="23">
        <f>Chillers!L26</f>
        <v>0</v>
      </c>
      <c r="K73" s="22" t="str">
        <f t="shared" si="3"/>
        <v>Version 4.0</v>
      </c>
      <c r="L73" s="60" t="str">
        <f>IF(ISNUMBER($D73)=TRUE,Chillers!E26,"")</f>
        <v/>
      </c>
      <c r="M73" s="59" t="str">
        <f>Chillers!N26</f>
        <v/>
      </c>
    </row>
    <row r="74" spans="1:13" x14ac:dyDescent="0.2">
      <c r="A74" s="25" t="s">
        <v>279</v>
      </c>
      <c r="B74" s="23">
        <f t="shared" si="2"/>
        <v>0</v>
      </c>
      <c r="C74" s="23">
        <f>Chillers!B27</f>
        <v>22</v>
      </c>
      <c r="D74" s="23" t="str">
        <f>Chillers!C27</f>
        <v/>
      </c>
      <c r="E74" s="23" t="str">
        <f>Chillers!F27</f>
        <v/>
      </c>
      <c r="F74" s="24">
        <f>Chillers!G27</f>
        <v>0</v>
      </c>
      <c r="G74" s="24" t="str">
        <f>Chillers!O27</f>
        <v/>
      </c>
      <c r="H74" s="89" t="str">
        <f>Chillers!P27</f>
        <v/>
      </c>
      <c r="I74" s="38" t="str">
        <f>IFERROR(M74*MIN(Table_Measure_Caps[[#Totals],[Estimated Raw Incentive Total]], Table_Measure_Caps[[#Totals],[Gross Measure Cost Total]], Value_Project_CAP)/Table_Measure_Caps[[#Totals],[Estimated Raw Incentive Total]], "")</f>
        <v/>
      </c>
      <c r="J74" s="23">
        <f>Chillers!L27</f>
        <v>0</v>
      </c>
      <c r="K74" s="22" t="str">
        <f t="shared" si="3"/>
        <v>Version 4.0</v>
      </c>
      <c r="L74" s="60" t="str">
        <f>IF(ISNUMBER($D74)=TRUE,Chillers!E27,"")</f>
        <v/>
      </c>
      <c r="M74" s="59" t="str">
        <f>Chillers!N27</f>
        <v/>
      </c>
    </row>
    <row r="75" spans="1:13" x14ac:dyDescent="0.2">
      <c r="A75" s="25" t="s">
        <v>279</v>
      </c>
      <c r="B75" s="23">
        <f t="shared" si="2"/>
        <v>0</v>
      </c>
      <c r="C75" s="23">
        <f>Chillers!B28</f>
        <v>23</v>
      </c>
      <c r="D75" s="23" t="str">
        <f>Chillers!C28</f>
        <v/>
      </c>
      <c r="E75" s="23" t="str">
        <f>Chillers!F28</f>
        <v/>
      </c>
      <c r="F75" s="24">
        <f>Chillers!G28</f>
        <v>0</v>
      </c>
      <c r="G75" s="24" t="str">
        <f>Chillers!O28</f>
        <v/>
      </c>
      <c r="H75" s="89" t="str">
        <f>Chillers!P28</f>
        <v/>
      </c>
      <c r="I75" s="38" t="str">
        <f>IFERROR(M75*MIN(Table_Measure_Caps[[#Totals],[Estimated Raw Incentive Total]], Table_Measure_Caps[[#Totals],[Gross Measure Cost Total]], Value_Project_CAP)/Table_Measure_Caps[[#Totals],[Estimated Raw Incentive Total]], "")</f>
        <v/>
      </c>
      <c r="J75" s="23">
        <f>Chillers!L28</f>
        <v>0</v>
      </c>
      <c r="K75" s="22" t="str">
        <f t="shared" si="3"/>
        <v>Version 4.0</v>
      </c>
      <c r="L75" s="60" t="str">
        <f>IF(ISNUMBER($D75)=TRUE,Chillers!E28,"")</f>
        <v/>
      </c>
      <c r="M75" s="59" t="str">
        <f>Chillers!N28</f>
        <v/>
      </c>
    </row>
    <row r="76" spans="1:13" x14ac:dyDescent="0.2">
      <c r="A76" s="25" t="s">
        <v>279</v>
      </c>
      <c r="B76" s="23">
        <f t="shared" si="2"/>
        <v>0</v>
      </c>
      <c r="C76" s="23">
        <f>Chillers!B29</f>
        <v>24</v>
      </c>
      <c r="D76" s="23" t="str">
        <f>Chillers!C29</f>
        <v/>
      </c>
      <c r="E76" s="23" t="str">
        <f>Chillers!F29</f>
        <v/>
      </c>
      <c r="F76" s="24">
        <f>Chillers!G29</f>
        <v>0</v>
      </c>
      <c r="G76" s="24" t="str">
        <f>Chillers!O29</f>
        <v/>
      </c>
      <c r="H76" s="89" t="str">
        <f>Chillers!P29</f>
        <v/>
      </c>
      <c r="I76" s="38" t="str">
        <f>IFERROR(M76*MIN(Table_Measure_Caps[[#Totals],[Estimated Raw Incentive Total]], Table_Measure_Caps[[#Totals],[Gross Measure Cost Total]], Value_Project_CAP)/Table_Measure_Caps[[#Totals],[Estimated Raw Incentive Total]], "")</f>
        <v/>
      </c>
      <c r="J76" s="23">
        <f>Chillers!L29</f>
        <v>0</v>
      </c>
      <c r="K76" s="22" t="str">
        <f t="shared" si="3"/>
        <v>Version 4.0</v>
      </c>
      <c r="L76" s="60" t="str">
        <f>IF(ISNUMBER($D76)=TRUE,Chillers!E29,"")</f>
        <v/>
      </c>
      <c r="M76" s="59" t="str">
        <f>Chillers!N29</f>
        <v/>
      </c>
    </row>
    <row r="77" spans="1:13" x14ac:dyDescent="0.2">
      <c r="A77" s="25" t="s">
        <v>279</v>
      </c>
      <c r="B77" s="23">
        <f t="shared" si="2"/>
        <v>0</v>
      </c>
      <c r="C77" s="23">
        <f>Chillers!B30</f>
        <v>25</v>
      </c>
      <c r="D77" s="23" t="str">
        <f>Chillers!C30</f>
        <v/>
      </c>
      <c r="E77" s="23" t="str">
        <f>Chillers!F30</f>
        <v/>
      </c>
      <c r="F77" s="24">
        <f>Chillers!G30</f>
        <v>0</v>
      </c>
      <c r="G77" s="24" t="str">
        <f>Chillers!O30</f>
        <v/>
      </c>
      <c r="H77" s="89" t="str">
        <f>Chillers!P30</f>
        <v/>
      </c>
      <c r="I77" s="38" t="str">
        <f>IFERROR(M77*MIN(Table_Measure_Caps[[#Totals],[Estimated Raw Incentive Total]], Table_Measure_Caps[[#Totals],[Gross Measure Cost Total]], Value_Project_CAP)/Table_Measure_Caps[[#Totals],[Estimated Raw Incentive Total]], "")</f>
        <v/>
      </c>
      <c r="J77" s="23">
        <f>Chillers!L30</f>
        <v>0</v>
      </c>
      <c r="K77" s="22" t="str">
        <f t="shared" si="3"/>
        <v>Version 4.0</v>
      </c>
      <c r="L77" s="60" t="str">
        <f>IF(ISNUMBER($D77)=TRUE,Chillers!E30,"")</f>
        <v/>
      </c>
      <c r="M77" s="59" t="str">
        <f>Chillers!N30</f>
        <v/>
      </c>
    </row>
    <row r="78" spans="1:13" x14ac:dyDescent="0.2">
      <c r="A78" s="25" t="s">
        <v>279</v>
      </c>
      <c r="B78" s="23">
        <f t="shared" si="2"/>
        <v>0</v>
      </c>
      <c r="C78" s="23">
        <f>Chillers!B31</f>
        <v>26</v>
      </c>
      <c r="D78" s="23" t="str">
        <f>Chillers!C31</f>
        <v/>
      </c>
      <c r="E78" s="23" t="str">
        <f>Chillers!F31</f>
        <v/>
      </c>
      <c r="F78" s="24">
        <f>Chillers!G31</f>
        <v>0</v>
      </c>
      <c r="G78" s="24" t="str">
        <f>Chillers!O31</f>
        <v/>
      </c>
      <c r="H78" s="89" t="str">
        <f>Chillers!P31</f>
        <v/>
      </c>
      <c r="I78" s="38" t="str">
        <f>IFERROR(M78*MIN(Table_Measure_Caps[[#Totals],[Estimated Raw Incentive Total]], Table_Measure_Caps[[#Totals],[Gross Measure Cost Total]], Value_Project_CAP)/Table_Measure_Caps[[#Totals],[Estimated Raw Incentive Total]], "")</f>
        <v/>
      </c>
      <c r="J78" s="23">
        <f>Chillers!L31</f>
        <v>0</v>
      </c>
      <c r="K78" s="22" t="str">
        <f t="shared" si="3"/>
        <v>Version 4.0</v>
      </c>
      <c r="L78" s="60" t="str">
        <f>IF(ISNUMBER($D78)=TRUE,Chillers!E31,"")</f>
        <v/>
      </c>
      <c r="M78" s="59" t="str">
        <f>Chillers!N31</f>
        <v/>
      </c>
    </row>
    <row r="79" spans="1:13" x14ac:dyDescent="0.2">
      <c r="A79" s="25" t="s">
        <v>279</v>
      </c>
      <c r="B79" s="23">
        <f t="shared" si="2"/>
        <v>0</v>
      </c>
      <c r="C79" s="23">
        <f>Chillers!B32</f>
        <v>27</v>
      </c>
      <c r="D79" s="23" t="str">
        <f>Chillers!C32</f>
        <v/>
      </c>
      <c r="E79" s="23" t="str">
        <f>Chillers!F32</f>
        <v/>
      </c>
      <c r="F79" s="24">
        <f>Chillers!G32</f>
        <v>0</v>
      </c>
      <c r="G79" s="24" t="str">
        <f>Chillers!O32</f>
        <v/>
      </c>
      <c r="H79" s="89" t="str">
        <f>Chillers!P32</f>
        <v/>
      </c>
      <c r="I79" s="38" t="str">
        <f>IFERROR(M79*MIN(Table_Measure_Caps[[#Totals],[Estimated Raw Incentive Total]], Table_Measure_Caps[[#Totals],[Gross Measure Cost Total]], Value_Project_CAP)/Table_Measure_Caps[[#Totals],[Estimated Raw Incentive Total]], "")</f>
        <v/>
      </c>
      <c r="J79" s="23">
        <f>Chillers!L32</f>
        <v>0</v>
      </c>
      <c r="K79" s="22" t="str">
        <f t="shared" si="3"/>
        <v>Version 4.0</v>
      </c>
      <c r="L79" s="60" t="str">
        <f>IF(ISNUMBER($D79)=TRUE,Chillers!E32,"")</f>
        <v/>
      </c>
      <c r="M79" s="59" t="str">
        <f>Chillers!N32</f>
        <v/>
      </c>
    </row>
    <row r="80" spans="1:13" x14ac:dyDescent="0.2">
      <c r="A80" s="25" t="s">
        <v>279</v>
      </c>
      <c r="B80" s="23">
        <f t="shared" si="2"/>
        <v>0</v>
      </c>
      <c r="C80" s="23">
        <f>Chillers!B33</f>
        <v>28</v>
      </c>
      <c r="D80" s="23" t="str">
        <f>Chillers!C33</f>
        <v/>
      </c>
      <c r="E80" s="23" t="str">
        <f>Chillers!F33</f>
        <v/>
      </c>
      <c r="F80" s="24">
        <f>Chillers!G33</f>
        <v>0</v>
      </c>
      <c r="G80" s="24" t="str">
        <f>Chillers!O33</f>
        <v/>
      </c>
      <c r="H80" s="89" t="str">
        <f>Chillers!P33</f>
        <v/>
      </c>
      <c r="I80" s="38" t="str">
        <f>IFERROR(M80*MIN(Table_Measure_Caps[[#Totals],[Estimated Raw Incentive Total]], Table_Measure_Caps[[#Totals],[Gross Measure Cost Total]], Value_Project_CAP)/Table_Measure_Caps[[#Totals],[Estimated Raw Incentive Total]], "")</f>
        <v/>
      </c>
      <c r="J80" s="23">
        <f>Chillers!L33</f>
        <v>0</v>
      </c>
      <c r="K80" s="22" t="str">
        <f t="shared" si="3"/>
        <v>Version 4.0</v>
      </c>
      <c r="L80" s="60" t="str">
        <f>IF(ISNUMBER($D80)=TRUE,Chillers!E33,"")</f>
        <v/>
      </c>
      <c r="M80" s="59" t="str">
        <f>Chillers!N33</f>
        <v/>
      </c>
    </row>
    <row r="81" spans="1:13" x14ac:dyDescent="0.2">
      <c r="A81" s="25" t="s">
        <v>279</v>
      </c>
      <c r="B81" s="23">
        <f t="shared" si="2"/>
        <v>0</v>
      </c>
      <c r="C81" s="23">
        <f>Chillers!B34</f>
        <v>29</v>
      </c>
      <c r="D81" s="23" t="str">
        <f>Chillers!C34</f>
        <v/>
      </c>
      <c r="E81" s="23" t="str">
        <f>Chillers!F34</f>
        <v/>
      </c>
      <c r="F81" s="24">
        <f>Chillers!G34</f>
        <v>0</v>
      </c>
      <c r="G81" s="24" t="str">
        <f>Chillers!O34</f>
        <v/>
      </c>
      <c r="H81" s="89" t="str">
        <f>Chillers!P34</f>
        <v/>
      </c>
      <c r="I81" s="38" t="str">
        <f>IFERROR(M81*MIN(Table_Measure_Caps[[#Totals],[Estimated Raw Incentive Total]], Table_Measure_Caps[[#Totals],[Gross Measure Cost Total]], Value_Project_CAP)/Table_Measure_Caps[[#Totals],[Estimated Raw Incentive Total]], "")</f>
        <v/>
      </c>
      <c r="J81" s="23">
        <f>Chillers!L34</f>
        <v>0</v>
      </c>
      <c r="K81" s="22" t="str">
        <f t="shared" si="3"/>
        <v>Version 4.0</v>
      </c>
      <c r="L81" s="60" t="str">
        <f>IF(ISNUMBER($D81)=TRUE,Chillers!E34,"")</f>
        <v/>
      </c>
      <c r="M81" s="59" t="str">
        <f>Chillers!N34</f>
        <v/>
      </c>
    </row>
    <row r="82" spans="1:13" x14ac:dyDescent="0.2">
      <c r="A82" s="25" t="s">
        <v>279</v>
      </c>
      <c r="B82" s="23">
        <f t="shared" si="2"/>
        <v>0</v>
      </c>
      <c r="C82" s="23">
        <f>Chillers!B35</f>
        <v>30</v>
      </c>
      <c r="D82" s="23" t="str">
        <f>Chillers!C35</f>
        <v/>
      </c>
      <c r="E82" s="23" t="str">
        <f>Chillers!F35</f>
        <v/>
      </c>
      <c r="F82" s="24">
        <f>Chillers!G35</f>
        <v>0</v>
      </c>
      <c r="G82" s="24" t="str">
        <f>Chillers!O35</f>
        <v/>
      </c>
      <c r="H82" s="89" t="str">
        <f>Chillers!P35</f>
        <v/>
      </c>
      <c r="I82" s="38" t="str">
        <f>IFERROR(M82*MIN(Table_Measure_Caps[[#Totals],[Estimated Raw Incentive Total]], Table_Measure_Caps[[#Totals],[Gross Measure Cost Total]], Value_Project_CAP)/Table_Measure_Caps[[#Totals],[Estimated Raw Incentive Total]], "")</f>
        <v/>
      </c>
      <c r="J82" s="23">
        <f>Chillers!L35</f>
        <v>0</v>
      </c>
      <c r="K82" s="22" t="str">
        <f t="shared" si="3"/>
        <v>Version 4.0</v>
      </c>
      <c r="L82" s="60" t="str">
        <f>IF(ISNUMBER($D82)=TRUE,Chillers!E35,"")</f>
        <v/>
      </c>
      <c r="M82" s="59" t="str">
        <f>Chillers!N35</f>
        <v/>
      </c>
    </row>
    <row r="83" spans="1:13" x14ac:dyDescent="0.2">
      <c r="A83" s="25" t="s">
        <v>279</v>
      </c>
      <c r="B83" s="23">
        <f t="shared" si="2"/>
        <v>0</v>
      </c>
      <c r="C83" s="23">
        <f>Chillers!B36</f>
        <v>31</v>
      </c>
      <c r="D83" s="23" t="str">
        <f>Chillers!C36</f>
        <v/>
      </c>
      <c r="E83" s="23" t="str">
        <f>Chillers!F36</f>
        <v/>
      </c>
      <c r="F83" s="24">
        <f>Chillers!G36</f>
        <v>0</v>
      </c>
      <c r="G83" s="24" t="str">
        <f>Chillers!O36</f>
        <v/>
      </c>
      <c r="H83" s="89" t="str">
        <f>Chillers!P36</f>
        <v/>
      </c>
      <c r="I83" s="38" t="str">
        <f>IFERROR(M83*MIN(Table_Measure_Caps[[#Totals],[Estimated Raw Incentive Total]], Table_Measure_Caps[[#Totals],[Gross Measure Cost Total]], Value_Project_CAP)/Table_Measure_Caps[[#Totals],[Estimated Raw Incentive Total]], "")</f>
        <v/>
      </c>
      <c r="J83" s="23">
        <f>Chillers!L36</f>
        <v>0</v>
      </c>
      <c r="K83" s="22" t="str">
        <f t="shared" si="3"/>
        <v>Version 4.0</v>
      </c>
      <c r="L83" s="60" t="str">
        <f>IF(ISNUMBER($D83)=TRUE,Chillers!E36,"")</f>
        <v/>
      </c>
      <c r="M83" s="59" t="str">
        <f>Chillers!N36</f>
        <v/>
      </c>
    </row>
    <row r="84" spans="1:13" x14ac:dyDescent="0.2">
      <c r="A84" s="25" t="s">
        <v>279</v>
      </c>
      <c r="B84" s="23">
        <f t="shared" si="2"/>
        <v>0</v>
      </c>
      <c r="C84" s="23">
        <f>Chillers!B37</f>
        <v>32</v>
      </c>
      <c r="D84" s="23" t="str">
        <f>Chillers!C37</f>
        <v/>
      </c>
      <c r="E84" s="23" t="str">
        <f>Chillers!F37</f>
        <v/>
      </c>
      <c r="F84" s="24">
        <f>Chillers!G37</f>
        <v>0</v>
      </c>
      <c r="G84" s="24" t="str">
        <f>Chillers!O37</f>
        <v/>
      </c>
      <c r="H84" s="89" t="str">
        <f>Chillers!P37</f>
        <v/>
      </c>
      <c r="I84" s="38" t="str">
        <f>IFERROR(M84*MIN(Table_Measure_Caps[[#Totals],[Estimated Raw Incentive Total]], Table_Measure_Caps[[#Totals],[Gross Measure Cost Total]], Value_Project_CAP)/Table_Measure_Caps[[#Totals],[Estimated Raw Incentive Total]], "")</f>
        <v/>
      </c>
      <c r="J84" s="23">
        <f>Chillers!L37</f>
        <v>0</v>
      </c>
      <c r="K84" s="22" t="str">
        <f t="shared" si="3"/>
        <v>Version 4.0</v>
      </c>
      <c r="L84" s="60" t="str">
        <f>IF(ISNUMBER($D84)=TRUE,Chillers!E37,"")</f>
        <v/>
      </c>
      <c r="M84" s="59" t="str">
        <f>Chillers!N37</f>
        <v/>
      </c>
    </row>
    <row r="85" spans="1:13" x14ac:dyDescent="0.2">
      <c r="A85" s="25" t="s">
        <v>279</v>
      </c>
      <c r="B85" s="23">
        <f t="shared" si="2"/>
        <v>0</v>
      </c>
      <c r="C85" s="23">
        <f>Chillers!B38</f>
        <v>33</v>
      </c>
      <c r="D85" s="23" t="str">
        <f>Chillers!C38</f>
        <v/>
      </c>
      <c r="E85" s="23" t="str">
        <f>Chillers!F38</f>
        <v/>
      </c>
      <c r="F85" s="24">
        <f>Chillers!G38</f>
        <v>0</v>
      </c>
      <c r="G85" s="24" t="str">
        <f>Chillers!O38</f>
        <v/>
      </c>
      <c r="H85" s="89" t="str">
        <f>Chillers!P38</f>
        <v/>
      </c>
      <c r="I85" s="38" t="str">
        <f>IFERROR(M85*MIN(Table_Measure_Caps[[#Totals],[Estimated Raw Incentive Total]], Table_Measure_Caps[[#Totals],[Gross Measure Cost Total]], Value_Project_CAP)/Table_Measure_Caps[[#Totals],[Estimated Raw Incentive Total]], "")</f>
        <v/>
      </c>
      <c r="J85" s="23">
        <f>Chillers!L38</f>
        <v>0</v>
      </c>
      <c r="K85" s="22" t="str">
        <f t="shared" si="3"/>
        <v>Version 4.0</v>
      </c>
      <c r="L85" s="60" t="str">
        <f>IF(ISNUMBER($D85)=TRUE,Chillers!E38,"")</f>
        <v/>
      </c>
      <c r="M85" s="59" t="str">
        <f>Chillers!N38</f>
        <v/>
      </c>
    </row>
    <row r="86" spans="1:13" x14ac:dyDescent="0.2">
      <c r="A86" s="25" t="s">
        <v>279</v>
      </c>
      <c r="B86" s="23">
        <f t="shared" si="2"/>
        <v>0</v>
      </c>
      <c r="C86" s="23">
        <f>Chillers!B39</f>
        <v>34</v>
      </c>
      <c r="D86" s="23" t="str">
        <f>Chillers!C39</f>
        <v/>
      </c>
      <c r="E86" s="23" t="str">
        <f>Chillers!F39</f>
        <v/>
      </c>
      <c r="F86" s="24">
        <f>Chillers!G39</f>
        <v>0</v>
      </c>
      <c r="G86" s="24" t="str">
        <f>Chillers!O39</f>
        <v/>
      </c>
      <c r="H86" s="89" t="str">
        <f>Chillers!P39</f>
        <v/>
      </c>
      <c r="I86" s="38" t="str">
        <f>IFERROR(M86*MIN(Table_Measure_Caps[[#Totals],[Estimated Raw Incentive Total]], Table_Measure_Caps[[#Totals],[Gross Measure Cost Total]], Value_Project_CAP)/Table_Measure_Caps[[#Totals],[Estimated Raw Incentive Total]], "")</f>
        <v/>
      </c>
      <c r="J86" s="23">
        <f>Chillers!L39</f>
        <v>0</v>
      </c>
      <c r="K86" s="22" t="str">
        <f t="shared" si="3"/>
        <v>Version 4.0</v>
      </c>
      <c r="L86" s="60" t="str">
        <f>IF(ISNUMBER($D86)=TRUE,Chillers!E39,"")</f>
        <v/>
      </c>
      <c r="M86" s="59" t="str">
        <f>Chillers!N39</f>
        <v/>
      </c>
    </row>
    <row r="87" spans="1:13" x14ac:dyDescent="0.2">
      <c r="A87" s="25" t="s">
        <v>279</v>
      </c>
      <c r="B87" s="23">
        <f t="shared" si="2"/>
        <v>0</v>
      </c>
      <c r="C87" s="23">
        <f>Chillers!B40</f>
        <v>35</v>
      </c>
      <c r="D87" s="23" t="str">
        <f>Chillers!C40</f>
        <v/>
      </c>
      <c r="E87" s="23" t="str">
        <f>Chillers!F40</f>
        <v/>
      </c>
      <c r="F87" s="24">
        <f>Chillers!G40</f>
        <v>0</v>
      </c>
      <c r="G87" s="24" t="str">
        <f>Chillers!O40</f>
        <v/>
      </c>
      <c r="H87" s="89" t="str">
        <f>Chillers!P40</f>
        <v/>
      </c>
      <c r="I87" s="38" t="str">
        <f>IFERROR(M87*MIN(Table_Measure_Caps[[#Totals],[Estimated Raw Incentive Total]], Table_Measure_Caps[[#Totals],[Gross Measure Cost Total]], Value_Project_CAP)/Table_Measure_Caps[[#Totals],[Estimated Raw Incentive Total]], "")</f>
        <v/>
      </c>
      <c r="J87" s="23">
        <f>Chillers!L40</f>
        <v>0</v>
      </c>
      <c r="K87" s="22" t="str">
        <f t="shared" si="3"/>
        <v>Version 4.0</v>
      </c>
      <c r="L87" s="60" t="str">
        <f>IF(ISNUMBER($D87)=TRUE,Chillers!E40,"")</f>
        <v/>
      </c>
      <c r="M87" s="59" t="str">
        <f>Chillers!N40</f>
        <v/>
      </c>
    </row>
    <row r="88" spans="1:13" x14ac:dyDescent="0.2">
      <c r="A88" s="25" t="s">
        <v>279</v>
      </c>
      <c r="B88" s="23">
        <f t="shared" si="2"/>
        <v>0</v>
      </c>
      <c r="C88" s="23">
        <f>Chillers!B41</f>
        <v>36</v>
      </c>
      <c r="D88" s="23" t="str">
        <f>Chillers!C41</f>
        <v/>
      </c>
      <c r="E88" s="23" t="str">
        <f>Chillers!F41</f>
        <v/>
      </c>
      <c r="F88" s="24">
        <f>Chillers!G41</f>
        <v>0</v>
      </c>
      <c r="G88" s="24" t="str">
        <f>Chillers!O41</f>
        <v/>
      </c>
      <c r="H88" s="89" t="str">
        <f>Chillers!P41</f>
        <v/>
      </c>
      <c r="I88" s="38" t="str">
        <f>IFERROR(M88*MIN(Table_Measure_Caps[[#Totals],[Estimated Raw Incentive Total]], Table_Measure_Caps[[#Totals],[Gross Measure Cost Total]], Value_Project_CAP)/Table_Measure_Caps[[#Totals],[Estimated Raw Incentive Total]], "")</f>
        <v/>
      </c>
      <c r="J88" s="23">
        <f>Chillers!L41</f>
        <v>0</v>
      </c>
      <c r="K88" s="22" t="str">
        <f t="shared" si="3"/>
        <v>Version 4.0</v>
      </c>
      <c r="L88" s="60" t="str">
        <f>IF(ISNUMBER($D88)=TRUE,Chillers!E41,"")</f>
        <v/>
      </c>
      <c r="M88" s="59" t="str">
        <f>Chillers!N41</f>
        <v/>
      </c>
    </row>
    <row r="89" spans="1:13" x14ac:dyDescent="0.2">
      <c r="A89" s="25" t="s">
        <v>279</v>
      </c>
      <c r="B89" s="23">
        <f t="shared" si="2"/>
        <v>0</v>
      </c>
      <c r="C89" s="23">
        <f>Chillers!B42</f>
        <v>37</v>
      </c>
      <c r="D89" s="23" t="str">
        <f>Chillers!C42</f>
        <v/>
      </c>
      <c r="E89" s="23" t="str">
        <f>Chillers!F42</f>
        <v/>
      </c>
      <c r="F89" s="24">
        <f>Chillers!G42</f>
        <v>0</v>
      </c>
      <c r="G89" s="24" t="str">
        <f>Chillers!O42</f>
        <v/>
      </c>
      <c r="H89" s="89" t="str">
        <f>Chillers!P42</f>
        <v/>
      </c>
      <c r="I89" s="38" t="str">
        <f>IFERROR(M89*MIN(Table_Measure_Caps[[#Totals],[Estimated Raw Incentive Total]], Table_Measure_Caps[[#Totals],[Gross Measure Cost Total]], Value_Project_CAP)/Table_Measure_Caps[[#Totals],[Estimated Raw Incentive Total]], "")</f>
        <v/>
      </c>
      <c r="J89" s="23">
        <f>Chillers!L42</f>
        <v>0</v>
      </c>
      <c r="K89" s="22" t="str">
        <f t="shared" si="3"/>
        <v>Version 4.0</v>
      </c>
      <c r="L89" s="60" t="str">
        <f>IF(ISNUMBER($D89)=TRUE,Chillers!E42,"")</f>
        <v/>
      </c>
      <c r="M89" s="59" t="str">
        <f>Chillers!N42</f>
        <v/>
      </c>
    </row>
    <row r="90" spans="1:13" x14ac:dyDescent="0.2">
      <c r="A90" s="25" t="s">
        <v>279</v>
      </c>
      <c r="B90" s="23">
        <f t="shared" si="2"/>
        <v>0</v>
      </c>
      <c r="C90" s="23">
        <f>Chillers!B43</f>
        <v>38</v>
      </c>
      <c r="D90" s="23" t="str">
        <f>Chillers!C43</f>
        <v/>
      </c>
      <c r="E90" s="23" t="str">
        <f>Chillers!F43</f>
        <v/>
      </c>
      <c r="F90" s="24">
        <f>Chillers!G43</f>
        <v>0</v>
      </c>
      <c r="G90" s="24" t="str">
        <f>Chillers!O43</f>
        <v/>
      </c>
      <c r="H90" s="89" t="str">
        <f>Chillers!P43</f>
        <v/>
      </c>
      <c r="I90" s="38" t="str">
        <f>IFERROR(M90*MIN(Table_Measure_Caps[[#Totals],[Estimated Raw Incentive Total]], Table_Measure_Caps[[#Totals],[Gross Measure Cost Total]], Value_Project_CAP)/Table_Measure_Caps[[#Totals],[Estimated Raw Incentive Total]], "")</f>
        <v/>
      </c>
      <c r="J90" s="23">
        <f>Chillers!L43</f>
        <v>0</v>
      </c>
      <c r="K90" s="22" t="str">
        <f t="shared" si="3"/>
        <v>Version 4.0</v>
      </c>
      <c r="L90" s="60" t="str">
        <f>IF(ISNUMBER($D90)=TRUE,Chillers!E43,"")</f>
        <v/>
      </c>
      <c r="M90" s="59" t="str">
        <f>Chillers!N43</f>
        <v/>
      </c>
    </row>
    <row r="91" spans="1:13" x14ac:dyDescent="0.2">
      <c r="A91" s="25" t="s">
        <v>279</v>
      </c>
      <c r="B91" s="23">
        <f t="shared" si="2"/>
        <v>0</v>
      </c>
      <c r="C91" s="23">
        <f>Chillers!B44</f>
        <v>39</v>
      </c>
      <c r="D91" s="23" t="str">
        <f>Chillers!C44</f>
        <v/>
      </c>
      <c r="E91" s="23" t="str">
        <f>Chillers!F44</f>
        <v/>
      </c>
      <c r="F91" s="24">
        <f>Chillers!G44</f>
        <v>0</v>
      </c>
      <c r="G91" s="24" t="str">
        <f>Chillers!O44</f>
        <v/>
      </c>
      <c r="H91" s="89" t="str">
        <f>Chillers!P44</f>
        <v/>
      </c>
      <c r="I91" s="38" t="str">
        <f>IFERROR(M91*MIN(Table_Measure_Caps[[#Totals],[Estimated Raw Incentive Total]], Table_Measure_Caps[[#Totals],[Gross Measure Cost Total]], Value_Project_CAP)/Table_Measure_Caps[[#Totals],[Estimated Raw Incentive Total]], "")</f>
        <v/>
      </c>
      <c r="J91" s="23">
        <f>Chillers!L44</f>
        <v>0</v>
      </c>
      <c r="K91" s="22" t="str">
        <f t="shared" si="3"/>
        <v>Version 4.0</v>
      </c>
      <c r="L91" s="60" t="str">
        <f>IF(ISNUMBER($D91)=TRUE,Chillers!E44,"")</f>
        <v/>
      </c>
      <c r="M91" s="59" t="str">
        <f>Chillers!N44</f>
        <v/>
      </c>
    </row>
    <row r="92" spans="1:13" x14ac:dyDescent="0.2">
      <c r="A92" s="25" t="s">
        <v>279</v>
      </c>
      <c r="B92" s="23">
        <f t="shared" si="2"/>
        <v>0</v>
      </c>
      <c r="C92" s="23">
        <f>Chillers!B45</f>
        <v>40</v>
      </c>
      <c r="D92" s="23" t="str">
        <f>Chillers!C45</f>
        <v/>
      </c>
      <c r="E92" s="23" t="str">
        <f>Chillers!F45</f>
        <v/>
      </c>
      <c r="F92" s="24">
        <f>Chillers!G45</f>
        <v>0</v>
      </c>
      <c r="G92" s="24" t="str">
        <f>Chillers!O45</f>
        <v/>
      </c>
      <c r="H92" s="89" t="str">
        <f>Chillers!P45</f>
        <v/>
      </c>
      <c r="I92" s="38" t="str">
        <f>IFERROR(M92*MIN(Table_Measure_Caps[[#Totals],[Estimated Raw Incentive Total]], Table_Measure_Caps[[#Totals],[Gross Measure Cost Total]], Value_Project_CAP)/Table_Measure_Caps[[#Totals],[Estimated Raw Incentive Total]], "")</f>
        <v/>
      </c>
      <c r="J92" s="23">
        <f>Chillers!L45</f>
        <v>0</v>
      </c>
      <c r="K92" s="22" t="str">
        <f t="shared" si="3"/>
        <v>Version 4.0</v>
      </c>
      <c r="L92" s="60" t="str">
        <f>IF(ISNUMBER($D92)=TRUE,Chillers!E45,"")</f>
        <v/>
      </c>
      <c r="M92" s="59" t="str">
        <f>Chillers!N45</f>
        <v/>
      </c>
    </row>
    <row r="93" spans="1:13" x14ac:dyDescent="0.2">
      <c r="A93" s="25" t="s">
        <v>279</v>
      </c>
      <c r="B93" s="23">
        <f t="shared" si="2"/>
        <v>0</v>
      </c>
      <c r="C93" s="23">
        <f>Chillers!B46</f>
        <v>41</v>
      </c>
      <c r="D93" s="23" t="str">
        <f>Chillers!C46</f>
        <v/>
      </c>
      <c r="E93" s="23" t="str">
        <f>Chillers!F46</f>
        <v/>
      </c>
      <c r="F93" s="24">
        <f>Chillers!G46</f>
        <v>0</v>
      </c>
      <c r="G93" s="24" t="str">
        <f>Chillers!O46</f>
        <v/>
      </c>
      <c r="H93" s="89" t="str">
        <f>Chillers!P46</f>
        <v/>
      </c>
      <c r="I93" s="38" t="str">
        <f>IFERROR(M93*MIN(Table_Measure_Caps[[#Totals],[Estimated Raw Incentive Total]], Table_Measure_Caps[[#Totals],[Gross Measure Cost Total]], Value_Project_CAP)/Table_Measure_Caps[[#Totals],[Estimated Raw Incentive Total]], "")</f>
        <v/>
      </c>
      <c r="J93" s="23">
        <f>Chillers!L46</f>
        <v>0</v>
      </c>
      <c r="K93" s="22" t="str">
        <f t="shared" si="3"/>
        <v>Version 4.0</v>
      </c>
      <c r="L93" s="60" t="str">
        <f>IF(ISNUMBER($D93)=TRUE,Chillers!E46,"")</f>
        <v/>
      </c>
      <c r="M93" s="59" t="str">
        <f>Chillers!N46</f>
        <v/>
      </c>
    </row>
    <row r="94" spans="1:13" x14ac:dyDescent="0.2">
      <c r="A94" s="25" t="s">
        <v>279</v>
      </c>
      <c r="B94" s="23">
        <f t="shared" si="2"/>
        <v>0</v>
      </c>
      <c r="C94" s="23">
        <f>Chillers!B47</f>
        <v>42</v>
      </c>
      <c r="D94" s="23" t="str">
        <f>Chillers!C47</f>
        <v/>
      </c>
      <c r="E94" s="23" t="str">
        <f>Chillers!F47</f>
        <v/>
      </c>
      <c r="F94" s="24">
        <f>Chillers!G47</f>
        <v>0</v>
      </c>
      <c r="G94" s="24" t="str">
        <f>Chillers!O47</f>
        <v/>
      </c>
      <c r="H94" s="89" t="str">
        <f>Chillers!P47</f>
        <v/>
      </c>
      <c r="I94" s="38" t="str">
        <f>IFERROR(M94*MIN(Table_Measure_Caps[[#Totals],[Estimated Raw Incentive Total]], Table_Measure_Caps[[#Totals],[Gross Measure Cost Total]], Value_Project_CAP)/Table_Measure_Caps[[#Totals],[Estimated Raw Incentive Total]], "")</f>
        <v/>
      </c>
      <c r="J94" s="23">
        <f>Chillers!L47</f>
        <v>0</v>
      </c>
      <c r="K94" s="22" t="str">
        <f t="shared" si="3"/>
        <v>Version 4.0</v>
      </c>
      <c r="L94" s="60" t="str">
        <f>IF(ISNUMBER($D94)=TRUE,Chillers!E47,"")</f>
        <v/>
      </c>
      <c r="M94" s="59" t="str">
        <f>Chillers!N47</f>
        <v/>
      </c>
    </row>
    <row r="95" spans="1:13" x14ac:dyDescent="0.2">
      <c r="A95" s="25" t="s">
        <v>279</v>
      </c>
      <c r="B95" s="23">
        <f t="shared" si="2"/>
        <v>0</v>
      </c>
      <c r="C95" s="23">
        <f>Chillers!B48</f>
        <v>43</v>
      </c>
      <c r="D95" s="23" t="str">
        <f>Chillers!C48</f>
        <v/>
      </c>
      <c r="E95" s="23" t="str">
        <f>Chillers!F48</f>
        <v/>
      </c>
      <c r="F95" s="24">
        <f>Chillers!G48</f>
        <v>0</v>
      </c>
      <c r="G95" s="24" t="str">
        <f>Chillers!O48</f>
        <v/>
      </c>
      <c r="H95" s="89" t="str">
        <f>Chillers!P48</f>
        <v/>
      </c>
      <c r="I95" s="38" t="str">
        <f>IFERROR(M95*MIN(Table_Measure_Caps[[#Totals],[Estimated Raw Incentive Total]], Table_Measure_Caps[[#Totals],[Gross Measure Cost Total]], Value_Project_CAP)/Table_Measure_Caps[[#Totals],[Estimated Raw Incentive Total]], "")</f>
        <v/>
      </c>
      <c r="J95" s="23">
        <f>Chillers!L48</f>
        <v>0</v>
      </c>
      <c r="K95" s="22" t="str">
        <f t="shared" si="3"/>
        <v>Version 4.0</v>
      </c>
      <c r="L95" s="60" t="str">
        <f>IF(ISNUMBER($D95)=TRUE,Chillers!E48,"")</f>
        <v/>
      </c>
      <c r="M95" s="59" t="str">
        <f>Chillers!N48</f>
        <v/>
      </c>
    </row>
    <row r="96" spans="1:13" x14ac:dyDescent="0.2">
      <c r="A96" s="25" t="s">
        <v>279</v>
      </c>
      <c r="B96" s="23">
        <f t="shared" si="2"/>
        <v>0</v>
      </c>
      <c r="C96" s="23">
        <f>Chillers!B49</f>
        <v>44</v>
      </c>
      <c r="D96" s="23" t="str">
        <f>Chillers!C49</f>
        <v/>
      </c>
      <c r="E96" s="23" t="str">
        <f>Chillers!F49</f>
        <v/>
      </c>
      <c r="F96" s="24">
        <f>Chillers!G49</f>
        <v>0</v>
      </c>
      <c r="G96" s="24" t="str">
        <f>Chillers!O49</f>
        <v/>
      </c>
      <c r="H96" s="89" t="str">
        <f>Chillers!P49</f>
        <v/>
      </c>
      <c r="I96" s="38" t="str">
        <f>IFERROR(M96*MIN(Table_Measure_Caps[[#Totals],[Estimated Raw Incentive Total]], Table_Measure_Caps[[#Totals],[Gross Measure Cost Total]], Value_Project_CAP)/Table_Measure_Caps[[#Totals],[Estimated Raw Incentive Total]], "")</f>
        <v/>
      </c>
      <c r="J96" s="23">
        <f>Chillers!L49</f>
        <v>0</v>
      </c>
      <c r="K96" s="22" t="str">
        <f t="shared" si="3"/>
        <v>Version 4.0</v>
      </c>
      <c r="L96" s="60" t="str">
        <f>IF(ISNUMBER($D96)=TRUE,Chillers!E49,"")</f>
        <v/>
      </c>
      <c r="M96" s="59" t="str">
        <f>Chillers!N49</f>
        <v/>
      </c>
    </row>
    <row r="97" spans="1:13" x14ac:dyDescent="0.2">
      <c r="A97" s="25" t="s">
        <v>279</v>
      </c>
      <c r="B97" s="23">
        <f t="shared" si="2"/>
        <v>0</v>
      </c>
      <c r="C97" s="23">
        <f>Chillers!B50</f>
        <v>45</v>
      </c>
      <c r="D97" s="23" t="str">
        <f>Chillers!C50</f>
        <v/>
      </c>
      <c r="E97" s="23" t="str">
        <f>Chillers!F50</f>
        <v/>
      </c>
      <c r="F97" s="24">
        <f>Chillers!G50</f>
        <v>0</v>
      </c>
      <c r="G97" s="24" t="str">
        <f>Chillers!O50</f>
        <v/>
      </c>
      <c r="H97" s="89" t="str">
        <f>Chillers!P50</f>
        <v/>
      </c>
      <c r="I97" s="38" t="str">
        <f>IFERROR(M97*MIN(Table_Measure_Caps[[#Totals],[Estimated Raw Incentive Total]], Table_Measure_Caps[[#Totals],[Gross Measure Cost Total]], Value_Project_CAP)/Table_Measure_Caps[[#Totals],[Estimated Raw Incentive Total]], "")</f>
        <v/>
      </c>
      <c r="J97" s="23">
        <f>Chillers!L50</f>
        <v>0</v>
      </c>
      <c r="K97" s="22" t="str">
        <f t="shared" si="3"/>
        <v>Version 4.0</v>
      </c>
      <c r="L97" s="60" t="str">
        <f>IF(ISNUMBER($D97)=TRUE,Chillers!E50,"")</f>
        <v/>
      </c>
      <c r="M97" s="59" t="str">
        <f>Chillers!N50</f>
        <v/>
      </c>
    </row>
    <row r="98" spans="1:13" x14ac:dyDescent="0.2">
      <c r="A98" s="25" t="s">
        <v>279</v>
      </c>
      <c r="B98" s="23">
        <f t="shared" si="2"/>
        <v>0</v>
      </c>
      <c r="C98" s="23">
        <f>Chillers!B51</f>
        <v>46</v>
      </c>
      <c r="D98" s="23" t="str">
        <f>Chillers!C51</f>
        <v/>
      </c>
      <c r="E98" s="23" t="str">
        <f>Chillers!F51</f>
        <v/>
      </c>
      <c r="F98" s="24">
        <f>Chillers!G51</f>
        <v>0</v>
      </c>
      <c r="G98" s="24" t="str">
        <f>Chillers!O51</f>
        <v/>
      </c>
      <c r="H98" s="89" t="str">
        <f>Chillers!P51</f>
        <v/>
      </c>
      <c r="I98" s="38" t="str">
        <f>IFERROR(M98*MIN(Table_Measure_Caps[[#Totals],[Estimated Raw Incentive Total]], Table_Measure_Caps[[#Totals],[Gross Measure Cost Total]], Value_Project_CAP)/Table_Measure_Caps[[#Totals],[Estimated Raw Incentive Total]], "")</f>
        <v/>
      </c>
      <c r="J98" s="23">
        <f>Chillers!L51</f>
        <v>0</v>
      </c>
      <c r="K98" s="22" t="str">
        <f t="shared" si="3"/>
        <v>Version 4.0</v>
      </c>
      <c r="L98" s="60" t="str">
        <f>IF(ISNUMBER($D98)=TRUE,Chillers!E51,"")</f>
        <v/>
      </c>
      <c r="M98" s="59" t="str">
        <f>Chillers!N51</f>
        <v/>
      </c>
    </row>
    <row r="99" spans="1:13" x14ac:dyDescent="0.2">
      <c r="A99" s="25" t="s">
        <v>279</v>
      </c>
      <c r="B99" s="23">
        <f t="shared" si="2"/>
        <v>0</v>
      </c>
      <c r="C99" s="23">
        <f>Chillers!B52</f>
        <v>47</v>
      </c>
      <c r="D99" s="23" t="str">
        <f>Chillers!C52</f>
        <v/>
      </c>
      <c r="E99" s="23" t="str">
        <f>Chillers!F52</f>
        <v/>
      </c>
      <c r="F99" s="24">
        <f>Chillers!G52</f>
        <v>0</v>
      </c>
      <c r="G99" s="24" t="str">
        <f>Chillers!O52</f>
        <v/>
      </c>
      <c r="H99" s="89" t="str">
        <f>Chillers!P52</f>
        <v/>
      </c>
      <c r="I99" s="38" t="str">
        <f>IFERROR(M99*MIN(Table_Measure_Caps[[#Totals],[Estimated Raw Incentive Total]], Table_Measure_Caps[[#Totals],[Gross Measure Cost Total]], Value_Project_CAP)/Table_Measure_Caps[[#Totals],[Estimated Raw Incentive Total]], "")</f>
        <v/>
      </c>
      <c r="J99" s="23">
        <f>Chillers!L52</f>
        <v>0</v>
      </c>
      <c r="K99" s="22" t="str">
        <f t="shared" si="3"/>
        <v>Version 4.0</v>
      </c>
      <c r="L99" s="60" t="str">
        <f>IF(ISNUMBER($D99)=TRUE,Chillers!E52,"")</f>
        <v/>
      </c>
      <c r="M99" s="59" t="str">
        <f>Chillers!N52</f>
        <v/>
      </c>
    </row>
    <row r="100" spans="1:13" x14ac:dyDescent="0.2">
      <c r="A100" s="25" t="s">
        <v>279</v>
      </c>
      <c r="B100" s="23">
        <f t="shared" si="2"/>
        <v>0</v>
      </c>
      <c r="C100" s="23">
        <f>Chillers!B53</f>
        <v>48</v>
      </c>
      <c r="D100" s="23" t="str">
        <f>Chillers!C53</f>
        <v/>
      </c>
      <c r="E100" s="23" t="str">
        <f>Chillers!F53</f>
        <v/>
      </c>
      <c r="F100" s="24">
        <f>Chillers!G53</f>
        <v>0</v>
      </c>
      <c r="G100" s="24" t="str">
        <f>Chillers!O53</f>
        <v/>
      </c>
      <c r="H100" s="89" t="str">
        <f>Chillers!P53</f>
        <v/>
      </c>
      <c r="I100" s="38" t="str">
        <f>IFERROR(M100*MIN(Table_Measure_Caps[[#Totals],[Estimated Raw Incentive Total]], Table_Measure_Caps[[#Totals],[Gross Measure Cost Total]], Value_Project_CAP)/Table_Measure_Caps[[#Totals],[Estimated Raw Incentive Total]], "")</f>
        <v/>
      </c>
      <c r="J100" s="23">
        <f>Chillers!L53</f>
        <v>0</v>
      </c>
      <c r="K100" s="22" t="str">
        <f t="shared" si="3"/>
        <v>Version 4.0</v>
      </c>
      <c r="L100" s="60" t="str">
        <f>IF(ISNUMBER($D100)=TRUE,Chillers!E53,"")</f>
        <v/>
      </c>
      <c r="M100" s="59" t="str">
        <f>Chillers!N53</f>
        <v/>
      </c>
    </row>
    <row r="101" spans="1:13" x14ac:dyDescent="0.2">
      <c r="A101" s="25" t="s">
        <v>279</v>
      </c>
      <c r="B101" s="23">
        <f t="shared" si="2"/>
        <v>0</v>
      </c>
      <c r="C101" s="23">
        <f>Chillers!B54</f>
        <v>49</v>
      </c>
      <c r="D101" s="23" t="str">
        <f>Chillers!C54</f>
        <v/>
      </c>
      <c r="E101" s="23" t="str">
        <f>Chillers!F54</f>
        <v/>
      </c>
      <c r="F101" s="24">
        <f>Chillers!G54</f>
        <v>0</v>
      </c>
      <c r="G101" s="24" t="str">
        <f>Chillers!O54</f>
        <v/>
      </c>
      <c r="H101" s="89" t="str">
        <f>Chillers!P54</f>
        <v/>
      </c>
      <c r="I101" s="38" t="str">
        <f>IFERROR(M101*MIN(Table_Measure_Caps[[#Totals],[Estimated Raw Incentive Total]], Table_Measure_Caps[[#Totals],[Gross Measure Cost Total]], Value_Project_CAP)/Table_Measure_Caps[[#Totals],[Estimated Raw Incentive Total]], "")</f>
        <v/>
      </c>
      <c r="J101" s="23">
        <f>Chillers!L54</f>
        <v>0</v>
      </c>
      <c r="K101" s="22" t="str">
        <f t="shared" si="3"/>
        <v>Version 4.0</v>
      </c>
      <c r="L101" s="60" t="str">
        <f>IF(ISNUMBER($D101)=TRUE,Chillers!E54,"")</f>
        <v/>
      </c>
      <c r="M101" s="59" t="str">
        <f>Chillers!N54</f>
        <v/>
      </c>
    </row>
    <row r="102" spans="1:13" x14ac:dyDescent="0.2">
      <c r="A102" s="25" t="s">
        <v>279</v>
      </c>
      <c r="B102" s="23">
        <f t="shared" si="2"/>
        <v>0</v>
      </c>
      <c r="C102" s="23">
        <f>Chillers!B55</f>
        <v>50</v>
      </c>
      <c r="D102" s="23" t="str">
        <f>Chillers!C55</f>
        <v/>
      </c>
      <c r="E102" s="23" t="str">
        <f>Chillers!F55</f>
        <v/>
      </c>
      <c r="F102" s="24">
        <f>Chillers!G55</f>
        <v>0</v>
      </c>
      <c r="G102" s="24" t="str">
        <f>Chillers!O55</f>
        <v/>
      </c>
      <c r="H102" s="89" t="str">
        <f>Chillers!P55</f>
        <v/>
      </c>
      <c r="I102" s="38" t="str">
        <f>IFERROR(M102*MIN(Table_Measure_Caps[[#Totals],[Estimated Raw Incentive Total]], Table_Measure_Caps[[#Totals],[Gross Measure Cost Total]], Value_Project_CAP)/Table_Measure_Caps[[#Totals],[Estimated Raw Incentive Total]], "")</f>
        <v/>
      </c>
      <c r="J102" s="23">
        <f>Chillers!L55</f>
        <v>0</v>
      </c>
      <c r="K102" s="22" t="str">
        <f t="shared" si="3"/>
        <v>Version 4.0</v>
      </c>
      <c r="L102" s="60" t="str">
        <f>IF(ISNUMBER($D102)=TRUE,Chillers!E55,"")</f>
        <v/>
      </c>
      <c r="M102" s="59" t="str">
        <f>Chillers!N55</f>
        <v/>
      </c>
    </row>
    <row r="103" spans="1:13" hidden="1" x14ac:dyDescent="0.2">
      <c r="A103" s="8" t="s">
        <v>167</v>
      </c>
      <c r="B103" s="7">
        <f t="shared" si="0"/>
        <v>0</v>
      </c>
      <c r="C103" s="7" t="e">
        <f>#REF!</f>
        <v>#REF!</v>
      </c>
      <c r="D103" s="7" t="e">
        <f>#REF!</f>
        <v>#REF!</v>
      </c>
      <c r="E103" s="7" t="s">
        <v>217</v>
      </c>
      <c r="F103" s="9">
        <f>1</f>
        <v>1</v>
      </c>
      <c r="G103" s="9" t="e">
        <f>#REF!</f>
        <v>#REF!</v>
      </c>
      <c r="H103" s="88" t="e">
        <f>#REF!</f>
        <v>#REF!</v>
      </c>
      <c r="I103" s="37" t="str">
        <f>IFERROR(M103*MIN(Table_Measure_Caps[[#Totals],[Estimated Raw Incentive Total]], Table_Measure_Caps[[#Totals],[Gross Measure Cost Total]], Value_Project_CAP)/Table_Measure_Caps[[#Totals],[Estimated Raw Incentive Total]], "")</f>
        <v/>
      </c>
      <c r="J103" s="7" t="e">
        <f>#REF!</f>
        <v>#REF!</v>
      </c>
      <c r="K103" s="22" t="str">
        <f t="shared" si="3"/>
        <v>Version 4.0</v>
      </c>
      <c r="L103" s="53" t="e">
        <f>#REF!</f>
        <v>#REF!</v>
      </c>
      <c r="M103" s="34" t="e">
        <f>#REF!</f>
        <v>#REF!</v>
      </c>
    </row>
    <row r="104" spans="1:13" hidden="1" x14ac:dyDescent="0.2">
      <c r="A104" s="8" t="s">
        <v>167</v>
      </c>
      <c r="B104" s="7">
        <f t="shared" si="0"/>
        <v>0</v>
      </c>
      <c r="C104" s="7" t="e">
        <f>#REF!</f>
        <v>#REF!</v>
      </c>
      <c r="D104" s="7" t="e">
        <f>#REF!</f>
        <v>#REF!</v>
      </c>
      <c r="E104" s="7" t="s">
        <v>217</v>
      </c>
      <c r="F104" s="9">
        <f>1</f>
        <v>1</v>
      </c>
      <c r="G104" s="9" t="e">
        <f>#REF!</f>
        <v>#REF!</v>
      </c>
      <c r="H104" s="88" t="e">
        <f>#REF!</f>
        <v>#REF!</v>
      </c>
      <c r="I104" s="37" t="str">
        <f>IFERROR(M104*MIN(Table_Measure_Caps[[#Totals],[Estimated Raw Incentive Total]], Table_Measure_Caps[[#Totals],[Gross Measure Cost Total]], Value_Project_CAP)/Table_Measure_Caps[[#Totals],[Estimated Raw Incentive Total]], "")</f>
        <v/>
      </c>
      <c r="J104" s="7" t="e">
        <f>#REF!</f>
        <v>#REF!</v>
      </c>
      <c r="K104" s="22" t="str">
        <f t="shared" si="3"/>
        <v>Version 4.0</v>
      </c>
      <c r="L104" s="53" t="e">
        <f>#REF!</f>
        <v>#REF!</v>
      </c>
      <c r="M104" s="34" t="e">
        <f>#REF!</f>
        <v>#REF!</v>
      </c>
    </row>
    <row r="105" spans="1:13" hidden="1" x14ac:dyDescent="0.2">
      <c r="A105" s="8" t="s">
        <v>167</v>
      </c>
      <c r="B105" s="7">
        <f t="shared" ref="B105:B132" si="4">Input_ProjectNumber</f>
        <v>0</v>
      </c>
      <c r="C105" s="7" t="e">
        <f>#REF!</f>
        <v>#REF!</v>
      </c>
      <c r="D105" s="7" t="e">
        <f>#REF!</f>
        <v>#REF!</v>
      </c>
      <c r="E105" s="7" t="s">
        <v>217</v>
      </c>
      <c r="F105" s="9">
        <f>1</f>
        <v>1</v>
      </c>
      <c r="G105" s="9" t="e">
        <f>#REF!</f>
        <v>#REF!</v>
      </c>
      <c r="H105" s="88" t="e">
        <f>#REF!</f>
        <v>#REF!</v>
      </c>
      <c r="I105" s="37" t="str">
        <f>IFERROR(M105*MIN(Table_Measure_Caps[[#Totals],[Estimated Raw Incentive Total]], Table_Measure_Caps[[#Totals],[Gross Measure Cost Total]], Value_Project_CAP)/Table_Measure_Caps[[#Totals],[Estimated Raw Incentive Total]], "")</f>
        <v/>
      </c>
      <c r="J105" s="7" t="e">
        <f>#REF!</f>
        <v>#REF!</v>
      </c>
      <c r="K105" s="22" t="str">
        <f t="shared" si="3"/>
        <v>Version 4.0</v>
      </c>
      <c r="L105" s="53" t="e">
        <f>#REF!</f>
        <v>#REF!</v>
      </c>
      <c r="M105" s="34" t="e">
        <f>#REF!</f>
        <v>#REF!</v>
      </c>
    </row>
    <row r="106" spans="1:13" hidden="1" x14ac:dyDescent="0.2">
      <c r="A106" s="8" t="s">
        <v>167</v>
      </c>
      <c r="B106" s="7">
        <f t="shared" si="4"/>
        <v>0</v>
      </c>
      <c r="C106" s="7" t="e">
        <f>#REF!</f>
        <v>#REF!</v>
      </c>
      <c r="D106" s="7" t="e">
        <f>#REF!</f>
        <v>#REF!</v>
      </c>
      <c r="E106" s="7" t="s">
        <v>217</v>
      </c>
      <c r="F106" s="9">
        <f>1</f>
        <v>1</v>
      </c>
      <c r="G106" s="9" t="e">
        <f>#REF!</f>
        <v>#REF!</v>
      </c>
      <c r="H106" s="88" t="e">
        <f>#REF!</f>
        <v>#REF!</v>
      </c>
      <c r="I106" s="37" t="str">
        <f>IFERROR(M106*MIN(Table_Measure_Caps[[#Totals],[Estimated Raw Incentive Total]], Table_Measure_Caps[[#Totals],[Gross Measure Cost Total]], Value_Project_CAP)/Table_Measure_Caps[[#Totals],[Estimated Raw Incentive Total]], "")</f>
        <v/>
      </c>
      <c r="J106" s="7" t="e">
        <f>#REF!</f>
        <v>#REF!</v>
      </c>
      <c r="K106" s="22" t="str">
        <f t="shared" si="3"/>
        <v>Version 4.0</v>
      </c>
      <c r="L106" s="53" t="e">
        <f>#REF!</f>
        <v>#REF!</v>
      </c>
      <c r="M106" s="34" t="e">
        <f>#REF!</f>
        <v>#REF!</v>
      </c>
    </row>
    <row r="107" spans="1:13" hidden="1" x14ac:dyDescent="0.2">
      <c r="A107" s="8" t="s">
        <v>167</v>
      </c>
      <c r="B107" s="7">
        <f t="shared" si="4"/>
        <v>0</v>
      </c>
      <c r="C107" s="7" t="e">
        <f>#REF!</f>
        <v>#REF!</v>
      </c>
      <c r="D107" s="7" t="e">
        <f>#REF!</f>
        <v>#REF!</v>
      </c>
      <c r="E107" s="7" t="s">
        <v>217</v>
      </c>
      <c r="F107" s="9">
        <f>1</f>
        <v>1</v>
      </c>
      <c r="G107" s="9" t="e">
        <f>#REF!</f>
        <v>#REF!</v>
      </c>
      <c r="H107" s="88" t="e">
        <f>#REF!</f>
        <v>#REF!</v>
      </c>
      <c r="I107" s="37" t="str">
        <f>IFERROR(M107*MIN(Table_Measure_Caps[[#Totals],[Estimated Raw Incentive Total]], Table_Measure_Caps[[#Totals],[Gross Measure Cost Total]], Value_Project_CAP)/Table_Measure_Caps[[#Totals],[Estimated Raw Incentive Total]], "")</f>
        <v/>
      </c>
      <c r="J107" s="7" t="e">
        <f>#REF!</f>
        <v>#REF!</v>
      </c>
      <c r="K107" s="22" t="str">
        <f t="shared" si="3"/>
        <v>Version 4.0</v>
      </c>
      <c r="L107" s="53" t="e">
        <f>#REF!</f>
        <v>#REF!</v>
      </c>
      <c r="M107" s="34" t="e">
        <f>#REF!</f>
        <v>#REF!</v>
      </c>
    </row>
    <row r="108" spans="1:13" hidden="1" x14ac:dyDescent="0.2">
      <c r="A108" s="8" t="s">
        <v>167</v>
      </c>
      <c r="B108" s="7">
        <f t="shared" si="4"/>
        <v>0</v>
      </c>
      <c r="C108" s="7" t="e">
        <f>#REF!</f>
        <v>#REF!</v>
      </c>
      <c r="D108" s="7" t="e">
        <f>#REF!</f>
        <v>#REF!</v>
      </c>
      <c r="E108" s="7" t="s">
        <v>217</v>
      </c>
      <c r="F108" s="9">
        <f>1</f>
        <v>1</v>
      </c>
      <c r="G108" s="9" t="e">
        <f>#REF!</f>
        <v>#REF!</v>
      </c>
      <c r="H108" s="88" t="e">
        <f>#REF!</f>
        <v>#REF!</v>
      </c>
      <c r="I108" s="37" t="str">
        <f>IFERROR(M108*MIN(Table_Measure_Caps[[#Totals],[Estimated Raw Incentive Total]], Table_Measure_Caps[[#Totals],[Gross Measure Cost Total]], Value_Project_CAP)/Table_Measure_Caps[[#Totals],[Estimated Raw Incentive Total]], "")</f>
        <v/>
      </c>
      <c r="J108" s="7" t="e">
        <f>#REF!</f>
        <v>#REF!</v>
      </c>
      <c r="K108" s="22" t="str">
        <f t="shared" si="3"/>
        <v>Version 4.0</v>
      </c>
      <c r="L108" s="53" t="e">
        <f>#REF!</f>
        <v>#REF!</v>
      </c>
      <c r="M108" s="34" t="e">
        <f>#REF!</f>
        <v>#REF!</v>
      </c>
    </row>
    <row r="109" spans="1:13" hidden="1" x14ac:dyDescent="0.2">
      <c r="A109" s="8" t="s">
        <v>167</v>
      </c>
      <c r="B109" s="7">
        <f t="shared" si="4"/>
        <v>0</v>
      </c>
      <c r="C109" s="7" t="e">
        <f>#REF!</f>
        <v>#REF!</v>
      </c>
      <c r="D109" s="7" t="e">
        <f>#REF!</f>
        <v>#REF!</v>
      </c>
      <c r="E109" s="7" t="s">
        <v>217</v>
      </c>
      <c r="F109" s="9">
        <f>1</f>
        <v>1</v>
      </c>
      <c r="G109" s="9" t="e">
        <f>#REF!</f>
        <v>#REF!</v>
      </c>
      <c r="H109" s="88" t="e">
        <f>#REF!</f>
        <v>#REF!</v>
      </c>
      <c r="I109" s="37" t="str">
        <f>IFERROR(M109*MIN(Table_Measure_Caps[[#Totals],[Estimated Raw Incentive Total]], Table_Measure_Caps[[#Totals],[Gross Measure Cost Total]], Value_Project_CAP)/Table_Measure_Caps[[#Totals],[Estimated Raw Incentive Total]], "")</f>
        <v/>
      </c>
      <c r="J109" s="7" t="e">
        <f>#REF!</f>
        <v>#REF!</v>
      </c>
      <c r="K109" s="22" t="str">
        <f t="shared" si="3"/>
        <v>Version 4.0</v>
      </c>
      <c r="L109" s="53" t="e">
        <f>#REF!</f>
        <v>#REF!</v>
      </c>
      <c r="M109" s="34" t="e">
        <f>#REF!</f>
        <v>#REF!</v>
      </c>
    </row>
    <row r="110" spans="1:13" hidden="1" x14ac:dyDescent="0.2">
      <c r="A110" s="8" t="s">
        <v>167</v>
      </c>
      <c r="B110" s="7">
        <f t="shared" si="4"/>
        <v>0</v>
      </c>
      <c r="C110" s="7" t="e">
        <f>#REF!</f>
        <v>#REF!</v>
      </c>
      <c r="D110" s="7" t="e">
        <f>#REF!</f>
        <v>#REF!</v>
      </c>
      <c r="E110" s="7" t="s">
        <v>217</v>
      </c>
      <c r="F110" s="9">
        <f>1</f>
        <v>1</v>
      </c>
      <c r="G110" s="9" t="e">
        <f>#REF!</f>
        <v>#REF!</v>
      </c>
      <c r="H110" s="88" t="e">
        <f>#REF!</f>
        <v>#REF!</v>
      </c>
      <c r="I110" s="37" t="str">
        <f>IFERROR(M110*MIN(Table_Measure_Caps[[#Totals],[Estimated Raw Incentive Total]], Table_Measure_Caps[[#Totals],[Gross Measure Cost Total]], Value_Project_CAP)/Table_Measure_Caps[[#Totals],[Estimated Raw Incentive Total]], "")</f>
        <v/>
      </c>
      <c r="J110" s="7" t="e">
        <f>#REF!</f>
        <v>#REF!</v>
      </c>
      <c r="K110" s="22" t="str">
        <f t="shared" si="3"/>
        <v>Version 4.0</v>
      </c>
      <c r="L110" s="53" t="e">
        <f>#REF!</f>
        <v>#REF!</v>
      </c>
      <c r="M110" s="34" t="e">
        <f>#REF!</f>
        <v>#REF!</v>
      </c>
    </row>
    <row r="111" spans="1:13" hidden="1" x14ac:dyDescent="0.2">
      <c r="A111" s="8" t="s">
        <v>167</v>
      </c>
      <c r="B111" s="7">
        <f t="shared" si="4"/>
        <v>0</v>
      </c>
      <c r="C111" s="7" t="e">
        <f>#REF!</f>
        <v>#REF!</v>
      </c>
      <c r="D111" s="7" t="e">
        <f>#REF!</f>
        <v>#REF!</v>
      </c>
      <c r="E111" s="7" t="s">
        <v>217</v>
      </c>
      <c r="F111" s="9">
        <f>1</f>
        <v>1</v>
      </c>
      <c r="G111" s="9" t="e">
        <f>#REF!</f>
        <v>#REF!</v>
      </c>
      <c r="H111" s="88" t="e">
        <f>#REF!</f>
        <v>#REF!</v>
      </c>
      <c r="I111" s="37" t="str">
        <f>IFERROR(M111*MIN(Table_Measure_Caps[[#Totals],[Estimated Raw Incentive Total]], Table_Measure_Caps[[#Totals],[Gross Measure Cost Total]], Value_Project_CAP)/Table_Measure_Caps[[#Totals],[Estimated Raw Incentive Total]], "")</f>
        <v/>
      </c>
      <c r="J111" s="7" t="e">
        <f>#REF!</f>
        <v>#REF!</v>
      </c>
      <c r="K111" s="22" t="str">
        <f t="shared" si="3"/>
        <v>Version 4.0</v>
      </c>
      <c r="L111" s="53" t="e">
        <f>#REF!</f>
        <v>#REF!</v>
      </c>
      <c r="M111" s="34" t="e">
        <f>#REF!</f>
        <v>#REF!</v>
      </c>
    </row>
    <row r="112" spans="1:13" hidden="1" x14ac:dyDescent="0.2">
      <c r="A112" s="8" t="s">
        <v>167</v>
      </c>
      <c r="B112" s="7">
        <f t="shared" si="4"/>
        <v>0</v>
      </c>
      <c r="C112" s="7" t="e">
        <f>#REF!</f>
        <v>#REF!</v>
      </c>
      <c r="D112" s="7" t="e">
        <f>#REF!</f>
        <v>#REF!</v>
      </c>
      <c r="E112" s="7" t="s">
        <v>217</v>
      </c>
      <c r="F112" s="9">
        <f>1</f>
        <v>1</v>
      </c>
      <c r="G112" s="9" t="e">
        <f>#REF!</f>
        <v>#REF!</v>
      </c>
      <c r="H112" s="88" t="e">
        <f>#REF!</f>
        <v>#REF!</v>
      </c>
      <c r="I112" s="37" t="str">
        <f>IFERROR(M112*MIN(Table_Measure_Caps[[#Totals],[Estimated Raw Incentive Total]], Table_Measure_Caps[[#Totals],[Gross Measure Cost Total]], Value_Project_CAP)/Table_Measure_Caps[[#Totals],[Estimated Raw Incentive Total]], "")</f>
        <v/>
      </c>
      <c r="J112" s="7" t="e">
        <f>#REF!</f>
        <v>#REF!</v>
      </c>
      <c r="K112" s="22" t="str">
        <f t="shared" si="3"/>
        <v>Version 4.0</v>
      </c>
      <c r="L112" s="53" t="e">
        <f>#REF!</f>
        <v>#REF!</v>
      </c>
      <c r="M112" s="34" t="e">
        <f>#REF!</f>
        <v>#REF!</v>
      </c>
    </row>
    <row r="113" spans="1:13" hidden="1" x14ac:dyDescent="0.2">
      <c r="A113" s="8" t="s">
        <v>167</v>
      </c>
      <c r="B113" s="7">
        <f t="shared" si="4"/>
        <v>0</v>
      </c>
      <c r="C113" s="7" t="e">
        <f>#REF!</f>
        <v>#REF!</v>
      </c>
      <c r="D113" s="7" t="e">
        <f>#REF!</f>
        <v>#REF!</v>
      </c>
      <c r="E113" s="7" t="s">
        <v>217</v>
      </c>
      <c r="F113" s="9">
        <f>1</f>
        <v>1</v>
      </c>
      <c r="G113" s="9" t="e">
        <f>#REF!</f>
        <v>#REF!</v>
      </c>
      <c r="H113" s="88" t="e">
        <f>#REF!</f>
        <v>#REF!</v>
      </c>
      <c r="I113" s="37" t="str">
        <f>IFERROR(M113*MIN(Table_Measure_Caps[[#Totals],[Estimated Raw Incentive Total]], Table_Measure_Caps[[#Totals],[Gross Measure Cost Total]], Value_Project_CAP)/Table_Measure_Caps[[#Totals],[Estimated Raw Incentive Total]], "")</f>
        <v/>
      </c>
      <c r="J113" s="7" t="e">
        <f>#REF!</f>
        <v>#REF!</v>
      </c>
      <c r="K113" s="22" t="str">
        <f t="shared" si="3"/>
        <v>Version 4.0</v>
      </c>
      <c r="L113" s="53" t="e">
        <f>#REF!</f>
        <v>#REF!</v>
      </c>
      <c r="M113" s="34" t="e">
        <f>#REF!</f>
        <v>#REF!</v>
      </c>
    </row>
    <row r="114" spans="1:13" hidden="1" x14ac:dyDescent="0.2">
      <c r="A114" s="8" t="s">
        <v>167</v>
      </c>
      <c r="B114" s="7">
        <f t="shared" si="4"/>
        <v>0</v>
      </c>
      <c r="C114" s="7" t="e">
        <f>#REF!</f>
        <v>#REF!</v>
      </c>
      <c r="D114" s="7" t="e">
        <f>#REF!</f>
        <v>#REF!</v>
      </c>
      <c r="E114" s="7" t="s">
        <v>217</v>
      </c>
      <c r="F114" s="9">
        <f>1</f>
        <v>1</v>
      </c>
      <c r="G114" s="9" t="e">
        <f>#REF!</f>
        <v>#REF!</v>
      </c>
      <c r="H114" s="88" t="e">
        <f>#REF!</f>
        <v>#REF!</v>
      </c>
      <c r="I114" s="37" t="str">
        <f>IFERROR(M114*MIN(Table_Measure_Caps[[#Totals],[Estimated Raw Incentive Total]], Table_Measure_Caps[[#Totals],[Gross Measure Cost Total]], Value_Project_CAP)/Table_Measure_Caps[[#Totals],[Estimated Raw Incentive Total]], "")</f>
        <v/>
      </c>
      <c r="J114" s="7" t="e">
        <f>#REF!</f>
        <v>#REF!</v>
      </c>
      <c r="K114" s="22" t="str">
        <f t="shared" si="3"/>
        <v>Version 4.0</v>
      </c>
      <c r="L114" s="53" t="e">
        <f>#REF!</f>
        <v>#REF!</v>
      </c>
      <c r="M114" s="34" t="e">
        <f>#REF!</f>
        <v>#REF!</v>
      </c>
    </row>
    <row r="115" spans="1:13" hidden="1" x14ac:dyDescent="0.2">
      <c r="A115" s="8" t="s">
        <v>167</v>
      </c>
      <c r="B115" s="7">
        <f t="shared" si="4"/>
        <v>0</v>
      </c>
      <c r="C115" s="7" t="e">
        <f>#REF!</f>
        <v>#REF!</v>
      </c>
      <c r="D115" s="7" t="e">
        <f>#REF!</f>
        <v>#REF!</v>
      </c>
      <c r="E115" s="7" t="s">
        <v>217</v>
      </c>
      <c r="F115" s="9">
        <f>1</f>
        <v>1</v>
      </c>
      <c r="G115" s="9" t="e">
        <f>#REF!</f>
        <v>#REF!</v>
      </c>
      <c r="H115" s="88" t="e">
        <f>#REF!</f>
        <v>#REF!</v>
      </c>
      <c r="I115" s="37" t="str">
        <f>IFERROR(M115*MIN(Table_Measure_Caps[[#Totals],[Estimated Raw Incentive Total]], Table_Measure_Caps[[#Totals],[Gross Measure Cost Total]], Value_Project_CAP)/Table_Measure_Caps[[#Totals],[Estimated Raw Incentive Total]], "")</f>
        <v/>
      </c>
      <c r="J115" s="7" t="e">
        <f>#REF!</f>
        <v>#REF!</v>
      </c>
      <c r="K115" s="22" t="str">
        <f t="shared" si="3"/>
        <v>Version 4.0</v>
      </c>
      <c r="L115" s="53" t="e">
        <f>#REF!</f>
        <v>#REF!</v>
      </c>
      <c r="M115" s="34" t="e">
        <f>#REF!</f>
        <v>#REF!</v>
      </c>
    </row>
    <row r="116" spans="1:13" hidden="1" x14ac:dyDescent="0.2">
      <c r="A116" s="8" t="s">
        <v>167</v>
      </c>
      <c r="B116" s="7">
        <f t="shared" si="4"/>
        <v>0</v>
      </c>
      <c r="C116" s="7" t="e">
        <f>#REF!</f>
        <v>#REF!</v>
      </c>
      <c r="D116" s="7" t="e">
        <f>#REF!</f>
        <v>#REF!</v>
      </c>
      <c r="E116" s="7" t="s">
        <v>217</v>
      </c>
      <c r="F116" s="9">
        <f>1</f>
        <v>1</v>
      </c>
      <c r="G116" s="9" t="e">
        <f>#REF!</f>
        <v>#REF!</v>
      </c>
      <c r="H116" s="88" t="e">
        <f>#REF!</f>
        <v>#REF!</v>
      </c>
      <c r="I116" s="37" t="str">
        <f>IFERROR(M116*MIN(Table_Measure_Caps[[#Totals],[Estimated Raw Incentive Total]], Table_Measure_Caps[[#Totals],[Gross Measure Cost Total]], Value_Project_CAP)/Table_Measure_Caps[[#Totals],[Estimated Raw Incentive Total]], "")</f>
        <v/>
      </c>
      <c r="J116" s="7" t="e">
        <f>#REF!</f>
        <v>#REF!</v>
      </c>
      <c r="K116" s="22" t="str">
        <f t="shared" si="3"/>
        <v>Version 4.0</v>
      </c>
      <c r="L116" s="53" t="e">
        <f>#REF!</f>
        <v>#REF!</v>
      </c>
      <c r="M116" s="34" t="e">
        <f>#REF!</f>
        <v>#REF!</v>
      </c>
    </row>
    <row r="117" spans="1:13" hidden="1" x14ac:dyDescent="0.2">
      <c r="A117" s="8" t="s">
        <v>167</v>
      </c>
      <c r="B117" s="7">
        <f t="shared" si="4"/>
        <v>0</v>
      </c>
      <c r="C117" s="7" t="e">
        <f>#REF!</f>
        <v>#REF!</v>
      </c>
      <c r="D117" s="7" t="e">
        <f>#REF!</f>
        <v>#REF!</v>
      </c>
      <c r="E117" s="7" t="s">
        <v>217</v>
      </c>
      <c r="F117" s="9">
        <f>1</f>
        <v>1</v>
      </c>
      <c r="G117" s="9" t="e">
        <f>#REF!</f>
        <v>#REF!</v>
      </c>
      <c r="H117" s="88" t="e">
        <f>#REF!</f>
        <v>#REF!</v>
      </c>
      <c r="I117" s="37" t="str">
        <f>IFERROR(M117*MIN(Table_Measure_Caps[[#Totals],[Estimated Raw Incentive Total]], Table_Measure_Caps[[#Totals],[Gross Measure Cost Total]], Value_Project_CAP)/Table_Measure_Caps[[#Totals],[Estimated Raw Incentive Total]], "")</f>
        <v/>
      </c>
      <c r="J117" s="7" t="e">
        <f>#REF!</f>
        <v>#REF!</v>
      </c>
      <c r="K117" s="22" t="str">
        <f t="shared" si="3"/>
        <v>Version 4.0</v>
      </c>
      <c r="L117" s="53" t="e">
        <f>#REF!</f>
        <v>#REF!</v>
      </c>
      <c r="M117" s="34" t="e">
        <f>#REF!</f>
        <v>#REF!</v>
      </c>
    </row>
    <row r="118" spans="1:13" hidden="1" x14ac:dyDescent="0.2">
      <c r="A118" s="8" t="s">
        <v>167</v>
      </c>
      <c r="B118" s="7">
        <f t="shared" si="4"/>
        <v>0</v>
      </c>
      <c r="C118" s="7" t="e">
        <f>#REF!</f>
        <v>#REF!</v>
      </c>
      <c r="D118" s="7" t="e">
        <f>#REF!</f>
        <v>#REF!</v>
      </c>
      <c r="E118" s="7" t="s">
        <v>217</v>
      </c>
      <c r="F118" s="9">
        <f>1</f>
        <v>1</v>
      </c>
      <c r="G118" s="9" t="e">
        <f>#REF!</f>
        <v>#REF!</v>
      </c>
      <c r="H118" s="88" t="e">
        <f>#REF!</f>
        <v>#REF!</v>
      </c>
      <c r="I118" s="37" t="str">
        <f>IFERROR(M118*MIN(Table_Measure_Caps[[#Totals],[Estimated Raw Incentive Total]], Table_Measure_Caps[[#Totals],[Gross Measure Cost Total]], Value_Project_CAP)/Table_Measure_Caps[[#Totals],[Estimated Raw Incentive Total]], "")</f>
        <v/>
      </c>
      <c r="J118" s="7" t="e">
        <f>#REF!</f>
        <v>#REF!</v>
      </c>
      <c r="K118" s="22" t="str">
        <f t="shared" si="3"/>
        <v>Version 4.0</v>
      </c>
      <c r="L118" s="53" t="e">
        <f>#REF!</f>
        <v>#REF!</v>
      </c>
      <c r="M118" s="34" t="e">
        <f>#REF!</f>
        <v>#REF!</v>
      </c>
    </row>
    <row r="119" spans="1:13" hidden="1" x14ac:dyDescent="0.2">
      <c r="A119" s="8" t="s">
        <v>167</v>
      </c>
      <c r="B119" s="7">
        <f t="shared" si="4"/>
        <v>0</v>
      </c>
      <c r="C119" s="7" t="e">
        <f>#REF!</f>
        <v>#REF!</v>
      </c>
      <c r="D119" s="7" t="e">
        <f>#REF!</f>
        <v>#REF!</v>
      </c>
      <c r="E119" s="7" t="s">
        <v>217</v>
      </c>
      <c r="F119" s="9">
        <f>1</f>
        <v>1</v>
      </c>
      <c r="G119" s="9" t="e">
        <f>#REF!</f>
        <v>#REF!</v>
      </c>
      <c r="H119" s="88" t="e">
        <f>#REF!</f>
        <v>#REF!</v>
      </c>
      <c r="I119" s="37" t="str">
        <f>IFERROR(M119*MIN(Table_Measure_Caps[[#Totals],[Estimated Raw Incentive Total]], Table_Measure_Caps[[#Totals],[Gross Measure Cost Total]], Value_Project_CAP)/Table_Measure_Caps[[#Totals],[Estimated Raw Incentive Total]], "")</f>
        <v/>
      </c>
      <c r="J119" s="7" t="e">
        <f>#REF!</f>
        <v>#REF!</v>
      </c>
      <c r="K119" s="22" t="str">
        <f t="shared" si="3"/>
        <v>Version 4.0</v>
      </c>
      <c r="L119" s="53" t="e">
        <f>#REF!</f>
        <v>#REF!</v>
      </c>
      <c r="M119" s="34" t="e">
        <f>#REF!</f>
        <v>#REF!</v>
      </c>
    </row>
    <row r="120" spans="1:13" hidden="1" x14ac:dyDescent="0.2">
      <c r="A120" s="8" t="s">
        <v>167</v>
      </c>
      <c r="B120" s="7">
        <f t="shared" si="4"/>
        <v>0</v>
      </c>
      <c r="C120" s="7" t="e">
        <f>#REF!</f>
        <v>#REF!</v>
      </c>
      <c r="D120" s="7" t="e">
        <f>#REF!</f>
        <v>#REF!</v>
      </c>
      <c r="E120" s="7" t="s">
        <v>217</v>
      </c>
      <c r="F120" s="9">
        <f>1</f>
        <v>1</v>
      </c>
      <c r="G120" s="9" t="e">
        <f>#REF!</f>
        <v>#REF!</v>
      </c>
      <c r="H120" s="88" t="e">
        <f>#REF!</f>
        <v>#REF!</v>
      </c>
      <c r="I120" s="37" t="str">
        <f>IFERROR(M120*MIN(Table_Measure_Caps[[#Totals],[Estimated Raw Incentive Total]], Table_Measure_Caps[[#Totals],[Gross Measure Cost Total]], Value_Project_CAP)/Table_Measure_Caps[[#Totals],[Estimated Raw Incentive Total]], "")</f>
        <v/>
      </c>
      <c r="J120" s="7" t="e">
        <f>#REF!</f>
        <v>#REF!</v>
      </c>
      <c r="K120" s="22" t="str">
        <f t="shared" si="3"/>
        <v>Version 4.0</v>
      </c>
      <c r="L120" s="53" t="e">
        <f>#REF!</f>
        <v>#REF!</v>
      </c>
      <c r="M120" s="34" t="e">
        <f>#REF!</f>
        <v>#REF!</v>
      </c>
    </row>
    <row r="121" spans="1:13" hidden="1" x14ac:dyDescent="0.2">
      <c r="A121" s="8" t="s">
        <v>167</v>
      </c>
      <c r="B121" s="7">
        <f t="shared" si="4"/>
        <v>0</v>
      </c>
      <c r="C121" s="7" t="e">
        <f>#REF!</f>
        <v>#REF!</v>
      </c>
      <c r="D121" s="7" t="e">
        <f>#REF!</f>
        <v>#REF!</v>
      </c>
      <c r="E121" s="7" t="s">
        <v>217</v>
      </c>
      <c r="F121" s="9">
        <f>1</f>
        <v>1</v>
      </c>
      <c r="G121" s="9" t="e">
        <f>#REF!</f>
        <v>#REF!</v>
      </c>
      <c r="H121" s="88" t="e">
        <f>#REF!</f>
        <v>#REF!</v>
      </c>
      <c r="I121" s="37" t="str">
        <f>IFERROR(M121*MIN(Table_Measure_Caps[[#Totals],[Estimated Raw Incentive Total]], Table_Measure_Caps[[#Totals],[Gross Measure Cost Total]], Value_Project_CAP)/Table_Measure_Caps[[#Totals],[Estimated Raw Incentive Total]], "")</f>
        <v/>
      </c>
      <c r="J121" s="7" t="e">
        <f>#REF!</f>
        <v>#REF!</v>
      </c>
      <c r="K121" s="22" t="str">
        <f t="shared" si="3"/>
        <v>Version 4.0</v>
      </c>
      <c r="L121" s="53" t="e">
        <f>#REF!</f>
        <v>#REF!</v>
      </c>
      <c r="M121" s="34" t="e">
        <f>#REF!</f>
        <v>#REF!</v>
      </c>
    </row>
    <row r="122" spans="1:13" hidden="1" x14ac:dyDescent="0.2">
      <c r="A122" s="8" t="s">
        <v>167</v>
      </c>
      <c r="B122" s="7">
        <f t="shared" si="4"/>
        <v>0</v>
      </c>
      <c r="C122" s="7" t="e">
        <f>#REF!</f>
        <v>#REF!</v>
      </c>
      <c r="D122" s="7" t="e">
        <f>#REF!</f>
        <v>#REF!</v>
      </c>
      <c r="E122" s="7" t="s">
        <v>217</v>
      </c>
      <c r="F122" s="9">
        <f>1</f>
        <v>1</v>
      </c>
      <c r="G122" s="9" t="e">
        <f>#REF!</f>
        <v>#REF!</v>
      </c>
      <c r="H122" s="88" t="e">
        <f>#REF!</f>
        <v>#REF!</v>
      </c>
      <c r="I122" s="37" t="str">
        <f>IFERROR(M122*MIN(Table_Measure_Caps[[#Totals],[Estimated Raw Incentive Total]], Table_Measure_Caps[[#Totals],[Gross Measure Cost Total]], Value_Project_CAP)/Table_Measure_Caps[[#Totals],[Estimated Raw Incentive Total]], "")</f>
        <v/>
      </c>
      <c r="J122" s="7" t="e">
        <f>#REF!</f>
        <v>#REF!</v>
      </c>
      <c r="K122" s="22" t="str">
        <f t="shared" si="3"/>
        <v>Version 4.0</v>
      </c>
      <c r="L122" s="53" t="e">
        <f>#REF!</f>
        <v>#REF!</v>
      </c>
      <c r="M122" s="34" t="e">
        <f>#REF!</f>
        <v>#REF!</v>
      </c>
    </row>
    <row r="123" spans="1:13" hidden="1" x14ac:dyDescent="0.2">
      <c r="A123" s="8" t="s">
        <v>167</v>
      </c>
      <c r="B123" s="7">
        <f t="shared" si="4"/>
        <v>0</v>
      </c>
      <c r="C123" s="7" t="e">
        <f>#REF!</f>
        <v>#REF!</v>
      </c>
      <c r="D123" s="7" t="e">
        <f>#REF!</f>
        <v>#REF!</v>
      </c>
      <c r="E123" s="7" t="s">
        <v>217</v>
      </c>
      <c r="F123" s="9">
        <f>1</f>
        <v>1</v>
      </c>
      <c r="G123" s="9" t="e">
        <f>#REF!</f>
        <v>#REF!</v>
      </c>
      <c r="H123" s="88" t="e">
        <f>#REF!</f>
        <v>#REF!</v>
      </c>
      <c r="I123" s="37" t="str">
        <f>IFERROR(M123*MIN(Table_Measure_Caps[[#Totals],[Estimated Raw Incentive Total]], Table_Measure_Caps[[#Totals],[Gross Measure Cost Total]], Value_Project_CAP)/Table_Measure_Caps[[#Totals],[Estimated Raw Incentive Total]], "")</f>
        <v/>
      </c>
      <c r="J123" s="7" t="e">
        <f>#REF!</f>
        <v>#REF!</v>
      </c>
      <c r="K123" s="22" t="str">
        <f t="shared" si="3"/>
        <v>Version 4.0</v>
      </c>
      <c r="L123" s="53" t="e">
        <f>#REF!</f>
        <v>#REF!</v>
      </c>
      <c r="M123" s="34" t="e">
        <f>#REF!</f>
        <v>#REF!</v>
      </c>
    </row>
    <row r="124" spans="1:13" hidden="1" x14ac:dyDescent="0.2">
      <c r="A124" s="8" t="s">
        <v>167</v>
      </c>
      <c r="B124" s="7">
        <f t="shared" si="4"/>
        <v>0</v>
      </c>
      <c r="C124" s="7" t="e">
        <f>#REF!</f>
        <v>#REF!</v>
      </c>
      <c r="D124" s="7" t="e">
        <f>#REF!</f>
        <v>#REF!</v>
      </c>
      <c r="E124" s="7" t="s">
        <v>217</v>
      </c>
      <c r="F124" s="9">
        <f>1</f>
        <v>1</v>
      </c>
      <c r="G124" s="9" t="e">
        <f>#REF!</f>
        <v>#REF!</v>
      </c>
      <c r="H124" s="88" t="e">
        <f>#REF!</f>
        <v>#REF!</v>
      </c>
      <c r="I124" s="37" t="str">
        <f>IFERROR(M124*MIN(Table_Measure_Caps[[#Totals],[Estimated Raw Incentive Total]], Table_Measure_Caps[[#Totals],[Gross Measure Cost Total]], Value_Project_CAP)/Table_Measure_Caps[[#Totals],[Estimated Raw Incentive Total]], "")</f>
        <v/>
      </c>
      <c r="J124" s="7" t="e">
        <f>#REF!</f>
        <v>#REF!</v>
      </c>
      <c r="K124" s="22" t="str">
        <f t="shared" si="3"/>
        <v>Version 4.0</v>
      </c>
      <c r="L124" s="53" t="e">
        <f>#REF!</f>
        <v>#REF!</v>
      </c>
      <c r="M124" s="34" t="e">
        <f>#REF!</f>
        <v>#REF!</v>
      </c>
    </row>
    <row r="125" spans="1:13" hidden="1" x14ac:dyDescent="0.2">
      <c r="A125" s="8" t="s">
        <v>167</v>
      </c>
      <c r="B125" s="7">
        <f t="shared" si="4"/>
        <v>0</v>
      </c>
      <c r="C125" s="7" t="e">
        <f>#REF!</f>
        <v>#REF!</v>
      </c>
      <c r="D125" s="7" t="e">
        <f>#REF!</f>
        <v>#REF!</v>
      </c>
      <c r="E125" s="7" t="s">
        <v>217</v>
      </c>
      <c r="F125" s="9">
        <f>1</f>
        <v>1</v>
      </c>
      <c r="G125" s="9" t="e">
        <f>#REF!</f>
        <v>#REF!</v>
      </c>
      <c r="H125" s="88" t="e">
        <f>#REF!</f>
        <v>#REF!</v>
      </c>
      <c r="I125" s="37" t="str">
        <f>IFERROR(M125*MIN(Table_Measure_Caps[[#Totals],[Estimated Raw Incentive Total]], Table_Measure_Caps[[#Totals],[Gross Measure Cost Total]], Value_Project_CAP)/Table_Measure_Caps[[#Totals],[Estimated Raw Incentive Total]], "")</f>
        <v/>
      </c>
      <c r="J125" s="7" t="e">
        <f>#REF!</f>
        <v>#REF!</v>
      </c>
      <c r="K125" s="22" t="str">
        <f t="shared" si="3"/>
        <v>Version 4.0</v>
      </c>
      <c r="L125" s="53" t="e">
        <f>#REF!</f>
        <v>#REF!</v>
      </c>
      <c r="M125" s="34" t="e">
        <f>#REF!</f>
        <v>#REF!</v>
      </c>
    </row>
    <row r="126" spans="1:13" hidden="1" x14ac:dyDescent="0.2">
      <c r="A126" s="8" t="s">
        <v>167</v>
      </c>
      <c r="B126" s="7">
        <f t="shared" si="4"/>
        <v>0</v>
      </c>
      <c r="C126" s="7" t="e">
        <f>#REF!</f>
        <v>#REF!</v>
      </c>
      <c r="D126" s="7" t="e">
        <f>#REF!</f>
        <v>#REF!</v>
      </c>
      <c r="E126" s="7" t="s">
        <v>217</v>
      </c>
      <c r="F126" s="9">
        <f>1</f>
        <v>1</v>
      </c>
      <c r="G126" s="9" t="e">
        <f>#REF!</f>
        <v>#REF!</v>
      </c>
      <c r="H126" s="88" t="e">
        <f>#REF!</f>
        <v>#REF!</v>
      </c>
      <c r="I126" s="37" t="str">
        <f>IFERROR(M126*MIN(Table_Measure_Caps[[#Totals],[Estimated Raw Incentive Total]], Table_Measure_Caps[[#Totals],[Gross Measure Cost Total]], Value_Project_CAP)/Table_Measure_Caps[[#Totals],[Estimated Raw Incentive Total]], "")</f>
        <v/>
      </c>
      <c r="J126" s="7" t="e">
        <f>#REF!</f>
        <v>#REF!</v>
      </c>
      <c r="K126" s="22" t="str">
        <f t="shared" si="3"/>
        <v>Version 4.0</v>
      </c>
      <c r="L126" s="53" t="e">
        <f>#REF!</f>
        <v>#REF!</v>
      </c>
      <c r="M126" s="34" t="e">
        <f>#REF!</f>
        <v>#REF!</v>
      </c>
    </row>
    <row r="127" spans="1:13" hidden="1" x14ac:dyDescent="0.2">
      <c r="A127" s="8" t="s">
        <v>167</v>
      </c>
      <c r="B127" s="7">
        <f t="shared" si="4"/>
        <v>0</v>
      </c>
      <c r="C127" s="7" t="e">
        <f>#REF!</f>
        <v>#REF!</v>
      </c>
      <c r="D127" s="7" t="e">
        <f>#REF!</f>
        <v>#REF!</v>
      </c>
      <c r="E127" s="7" t="s">
        <v>217</v>
      </c>
      <c r="F127" s="9">
        <f>1</f>
        <v>1</v>
      </c>
      <c r="G127" s="9" t="e">
        <f>#REF!</f>
        <v>#REF!</v>
      </c>
      <c r="H127" s="88" t="e">
        <f>#REF!</f>
        <v>#REF!</v>
      </c>
      <c r="I127" s="37" t="str">
        <f>IFERROR(M127*MIN(Table_Measure_Caps[[#Totals],[Estimated Raw Incentive Total]], Table_Measure_Caps[[#Totals],[Gross Measure Cost Total]], Value_Project_CAP)/Table_Measure_Caps[[#Totals],[Estimated Raw Incentive Total]], "")</f>
        <v/>
      </c>
      <c r="J127" s="7" t="e">
        <f>#REF!</f>
        <v>#REF!</v>
      </c>
      <c r="K127" s="22" t="str">
        <f t="shared" si="3"/>
        <v>Version 4.0</v>
      </c>
      <c r="L127" s="53" t="e">
        <f>#REF!</f>
        <v>#REF!</v>
      </c>
      <c r="M127" s="34" t="e">
        <f>#REF!</f>
        <v>#REF!</v>
      </c>
    </row>
    <row r="128" spans="1:13" hidden="1" x14ac:dyDescent="0.2">
      <c r="A128" s="8" t="s">
        <v>167</v>
      </c>
      <c r="B128" s="7">
        <f t="shared" si="4"/>
        <v>0</v>
      </c>
      <c r="C128" s="7" t="e">
        <f>#REF!</f>
        <v>#REF!</v>
      </c>
      <c r="D128" s="7" t="e">
        <f>#REF!</f>
        <v>#REF!</v>
      </c>
      <c r="E128" s="7" t="s">
        <v>217</v>
      </c>
      <c r="F128" s="9">
        <f>1</f>
        <v>1</v>
      </c>
      <c r="G128" s="9" t="e">
        <f>#REF!</f>
        <v>#REF!</v>
      </c>
      <c r="H128" s="88" t="e">
        <f>#REF!</f>
        <v>#REF!</v>
      </c>
      <c r="I128" s="37" t="str">
        <f>IFERROR(M128*MIN(Table_Measure_Caps[[#Totals],[Estimated Raw Incentive Total]], Table_Measure_Caps[[#Totals],[Gross Measure Cost Total]], Value_Project_CAP)/Table_Measure_Caps[[#Totals],[Estimated Raw Incentive Total]], "")</f>
        <v/>
      </c>
      <c r="J128" s="7" t="e">
        <f>#REF!</f>
        <v>#REF!</v>
      </c>
      <c r="K128" s="22" t="str">
        <f t="shared" si="3"/>
        <v>Version 4.0</v>
      </c>
      <c r="L128" s="53" t="e">
        <f>#REF!</f>
        <v>#REF!</v>
      </c>
      <c r="M128" s="34" t="e">
        <f>#REF!</f>
        <v>#REF!</v>
      </c>
    </row>
    <row r="129" spans="1:13" hidden="1" x14ac:dyDescent="0.2">
      <c r="A129" s="8" t="s">
        <v>167</v>
      </c>
      <c r="B129" s="7">
        <f t="shared" si="4"/>
        <v>0</v>
      </c>
      <c r="C129" s="7" t="e">
        <f>#REF!</f>
        <v>#REF!</v>
      </c>
      <c r="D129" s="7" t="e">
        <f>#REF!</f>
        <v>#REF!</v>
      </c>
      <c r="E129" s="7" t="s">
        <v>217</v>
      </c>
      <c r="F129" s="9">
        <f>1</f>
        <v>1</v>
      </c>
      <c r="G129" s="9" t="e">
        <f>#REF!</f>
        <v>#REF!</v>
      </c>
      <c r="H129" s="88" t="e">
        <f>#REF!</f>
        <v>#REF!</v>
      </c>
      <c r="I129" s="37" t="str">
        <f>IFERROR(M129*MIN(Table_Measure_Caps[[#Totals],[Estimated Raw Incentive Total]], Table_Measure_Caps[[#Totals],[Gross Measure Cost Total]], Value_Project_CAP)/Table_Measure_Caps[[#Totals],[Estimated Raw Incentive Total]], "")</f>
        <v/>
      </c>
      <c r="J129" s="7" t="e">
        <f>#REF!</f>
        <v>#REF!</v>
      </c>
      <c r="K129" s="22" t="str">
        <f t="shared" si="3"/>
        <v>Version 4.0</v>
      </c>
      <c r="L129" s="53" t="e">
        <f>#REF!</f>
        <v>#REF!</v>
      </c>
      <c r="M129" s="34" t="e">
        <f>#REF!</f>
        <v>#REF!</v>
      </c>
    </row>
    <row r="130" spans="1:13" hidden="1" x14ac:dyDescent="0.2">
      <c r="A130" s="8" t="s">
        <v>167</v>
      </c>
      <c r="B130" s="7">
        <f t="shared" si="4"/>
        <v>0</v>
      </c>
      <c r="C130" s="7" t="e">
        <f>#REF!</f>
        <v>#REF!</v>
      </c>
      <c r="D130" s="7" t="e">
        <f>#REF!</f>
        <v>#REF!</v>
      </c>
      <c r="E130" s="7" t="s">
        <v>217</v>
      </c>
      <c r="F130" s="9">
        <f>1</f>
        <v>1</v>
      </c>
      <c r="G130" s="9" t="e">
        <f>#REF!</f>
        <v>#REF!</v>
      </c>
      <c r="H130" s="88" t="e">
        <f>#REF!</f>
        <v>#REF!</v>
      </c>
      <c r="I130" s="37" t="str">
        <f>IFERROR(M130*MIN(Table_Measure_Caps[[#Totals],[Estimated Raw Incentive Total]], Table_Measure_Caps[[#Totals],[Gross Measure Cost Total]], Value_Project_CAP)/Table_Measure_Caps[[#Totals],[Estimated Raw Incentive Total]], "")</f>
        <v/>
      </c>
      <c r="J130" s="7" t="e">
        <f>#REF!</f>
        <v>#REF!</v>
      </c>
      <c r="K130" s="22" t="str">
        <f t="shared" ref="K130:K193" si="5">Value_Application_Version</f>
        <v>Version 4.0</v>
      </c>
      <c r="L130" s="53" t="e">
        <f>#REF!</f>
        <v>#REF!</v>
      </c>
      <c r="M130" s="34" t="e">
        <f>#REF!</f>
        <v>#REF!</v>
      </c>
    </row>
    <row r="131" spans="1:13" hidden="1" x14ac:dyDescent="0.2">
      <c r="A131" s="8" t="s">
        <v>167</v>
      </c>
      <c r="B131" s="7">
        <f t="shared" si="4"/>
        <v>0</v>
      </c>
      <c r="C131" s="7" t="e">
        <f>#REF!</f>
        <v>#REF!</v>
      </c>
      <c r="D131" s="7" t="e">
        <f>#REF!</f>
        <v>#REF!</v>
      </c>
      <c r="E131" s="7" t="s">
        <v>217</v>
      </c>
      <c r="F131" s="9">
        <f>1</f>
        <v>1</v>
      </c>
      <c r="G131" s="9" t="e">
        <f>#REF!</f>
        <v>#REF!</v>
      </c>
      <c r="H131" s="88" t="e">
        <f>#REF!</f>
        <v>#REF!</v>
      </c>
      <c r="I131" s="37" t="str">
        <f>IFERROR(M131*MIN(Table_Measure_Caps[[#Totals],[Estimated Raw Incentive Total]], Table_Measure_Caps[[#Totals],[Gross Measure Cost Total]], Value_Project_CAP)/Table_Measure_Caps[[#Totals],[Estimated Raw Incentive Total]], "")</f>
        <v/>
      </c>
      <c r="J131" s="7" t="e">
        <f>#REF!</f>
        <v>#REF!</v>
      </c>
      <c r="K131" s="22" t="str">
        <f t="shared" si="5"/>
        <v>Version 4.0</v>
      </c>
      <c r="L131" s="53" t="e">
        <f>#REF!</f>
        <v>#REF!</v>
      </c>
      <c r="M131" s="34" t="e">
        <f>#REF!</f>
        <v>#REF!</v>
      </c>
    </row>
    <row r="132" spans="1:13" hidden="1" x14ac:dyDescent="0.2">
      <c r="A132" s="8" t="s">
        <v>167</v>
      </c>
      <c r="B132" s="7">
        <f t="shared" si="4"/>
        <v>0</v>
      </c>
      <c r="C132" s="7" t="e">
        <f>#REF!</f>
        <v>#REF!</v>
      </c>
      <c r="D132" s="7" t="e">
        <f>#REF!</f>
        <v>#REF!</v>
      </c>
      <c r="E132" s="7" t="s">
        <v>217</v>
      </c>
      <c r="F132" s="9">
        <f>1</f>
        <v>1</v>
      </c>
      <c r="G132" s="9" t="e">
        <f>#REF!</f>
        <v>#REF!</v>
      </c>
      <c r="H132" s="88" t="e">
        <f>#REF!</f>
        <v>#REF!</v>
      </c>
      <c r="I132" s="37" t="str">
        <f>IFERROR(M132*MIN(Table_Measure_Caps[[#Totals],[Estimated Raw Incentive Total]], Table_Measure_Caps[[#Totals],[Gross Measure Cost Total]], Value_Project_CAP)/Table_Measure_Caps[[#Totals],[Estimated Raw Incentive Total]], "")</f>
        <v/>
      </c>
      <c r="J132" s="7" t="e">
        <f>#REF!</f>
        <v>#REF!</v>
      </c>
      <c r="K132" s="22" t="str">
        <f t="shared" si="5"/>
        <v>Version 4.0</v>
      </c>
      <c r="L132" s="53" t="e">
        <f>#REF!</f>
        <v>#REF!</v>
      </c>
      <c r="M132" s="34" t="e">
        <f>#REF!</f>
        <v>#REF!</v>
      </c>
    </row>
    <row r="133" spans="1:13" hidden="1" x14ac:dyDescent="0.2">
      <c r="A133" s="65" t="s">
        <v>146</v>
      </c>
      <c r="B133" s="66">
        <f t="shared" ref="B133:B164" si="6">Input_ProjectNumber</f>
        <v>0</v>
      </c>
      <c r="C133" s="66">
        <v>1</v>
      </c>
      <c r="D133" s="66" t="e">
        <f>#REF!</f>
        <v>#REF!</v>
      </c>
      <c r="E133" s="66" t="e">
        <f>#REF!</f>
        <v>#REF!</v>
      </c>
      <c r="F133" s="66" t="e">
        <f>#REF!</f>
        <v>#REF!</v>
      </c>
      <c r="G133" s="67" t="e">
        <f>#REF!</f>
        <v>#REF!</v>
      </c>
      <c r="H133" s="90" t="e">
        <f>#REF!</f>
        <v>#REF!</v>
      </c>
      <c r="I133" s="69" t="str">
        <f>IFERROR(M133*MIN(Table_Measure_Caps[[#Totals],[Estimated Raw Incentive Total]], Table_Measure_Caps[[#Totals],[Gross Measure Cost Total]], Value_Project_CAP)/Table_Measure_Caps[[#Totals],[Estimated Raw Incentive Total]], "")</f>
        <v/>
      </c>
      <c r="J133" s="66" t="e">
        <f>#REF!</f>
        <v>#REF!</v>
      </c>
      <c r="K133" s="70" t="str">
        <f t="shared" si="5"/>
        <v>Version 4.0</v>
      </c>
      <c r="L133" s="71" t="e">
        <f>#REF!</f>
        <v>#REF!</v>
      </c>
      <c r="M133" s="68" t="e">
        <f>#REF!</f>
        <v>#REF!</v>
      </c>
    </row>
    <row r="134" spans="1:13" hidden="1" x14ac:dyDescent="0.2">
      <c r="A134" s="65" t="s">
        <v>146</v>
      </c>
      <c r="B134" s="72">
        <f t="shared" si="6"/>
        <v>0</v>
      </c>
      <c r="C134" s="72">
        <v>2</v>
      </c>
      <c r="D134" s="66" t="e">
        <f>#REF!</f>
        <v>#REF!</v>
      </c>
      <c r="E134" s="66" t="e">
        <f>#REF!</f>
        <v>#REF!</v>
      </c>
      <c r="F134" s="66" t="e">
        <f>#REF!</f>
        <v>#REF!</v>
      </c>
      <c r="G134" s="67" t="e">
        <f>#REF!</f>
        <v>#REF!</v>
      </c>
      <c r="H134" s="90" t="e">
        <f>#REF!</f>
        <v>#REF!</v>
      </c>
      <c r="I134" s="69" t="str">
        <f>IFERROR(M134*MIN(Table_Measure_Caps[[#Totals],[Estimated Raw Incentive Total]], Table_Measure_Caps[[#Totals],[Gross Measure Cost Total]], Value_Project_CAP)/Table_Measure_Caps[[#Totals],[Estimated Raw Incentive Total]], "")</f>
        <v/>
      </c>
      <c r="J134" s="66" t="e">
        <f>#REF!</f>
        <v>#REF!</v>
      </c>
      <c r="K134" s="70" t="str">
        <f t="shared" si="5"/>
        <v>Version 4.0</v>
      </c>
      <c r="L134" s="71" t="e">
        <f>#REF!</f>
        <v>#REF!</v>
      </c>
      <c r="M134" s="68" t="e">
        <f>#REF!</f>
        <v>#REF!</v>
      </c>
    </row>
    <row r="135" spans="1:13" hidden="1" x14ac:dyDescent="0.2">
      <c r="A135" s="65" t="s">
        <v>146</v>
      </c>
      <c r="B135" s="66">
        <f t="shared" si="6"/>
        <v>0</v>
      </c>
      <c r="C135" s="66">
        <v>3</v>
      </c>
      <c r="D135" s="66" t="e">
        <f>#REF!</f>
        <v>#REF!</v>
      </c>
      <c r="E135" s="66" t="e">
        <f>#REF!</f>
        <v>#REF!</v>
      </c>
      <c r="F135" s="66" t="e">
        <f>#REF!</f>
        <v>#REF!</v>
      </c>
      <c r="G135" s="67" t="e">
        <f>#REF!</f>
        <v>#REF!</v>
      </c>
      <c r="H135" s="90" t="e">
        <f>#REF!</f>
        <v>#REF!</v>
      </c>
      <c r="I135" s="69" t="str">
        <f>IFERROR(M135*MIN(Table_Measure_Caps[[#Totals],[Estimated Raw Incentive Total]], Table_Measure_Caps[[#Totals],[Gross Measure Cost Total]], Value_Project_CAP)/Table_Measure_Caps[[#Totals],[Estimated Raw Incentive Total]], "")</f>
        <v/>
      </c>
      <c r="J135" s="66" t="e">
        <f>#REF!</f>
        <v>#REF!</v>
      </c>
      <c r="K135" s="70" t="str">
        <f t="shared" si="5"/>
        <v>Version 4.0</v>
      </c>
      <c r="L135" s="71" t="e">
        <f>#REF!</f>
        <v>#REF!</v>
      </c>
      <c r="M135" s="68" t="e">
        <f>#REF!</f>
        <v>#REF!</v>
      </c>
    </row>
    <row r="136" spans="1:13" hidden="1" x14ac:dyDescent="0.2">
      <c r="A136" s="65" t="s">
        <v>146</v>
      </c>
      <c r="B136" s="72">
        <f t="shared" si="6"/>
        <v>0</v>
      </c>
      <c r="C136" s="72">
        <v>4</v>
      </c>
      <c r="D136" s="66" t="e">
        <f>#REF!</f>
        <v>#REF!</v>
      </c>
      <c r="E136" s="66" t="e">
        <f>#REF!</f>
        <v>#REF!</v>
      </c>
      <c r="F136" s="66" t="e">
        <f>#REF!</f>
        <v>#REF!</v>
      </c>
      <c r="G136" s="67" t="e">
        <f>#REF!</f>
        <v>#REF!</v>
      </c>
      <c r="H136" s="90" t="e">
        <f>#REF!</f>
        <v>#REF!</v>
      </c>
      <c r="I136" s="69" t="str">
        <f>IFERROR(M136*MIN(Table_Measure_Caps[[#Totals],[Estimated Raw Incentive Total]], Table_Measure_Caps[[#Totals],[Gross Measure Cost Total]], Value_Project_CAP)/Table_Measure_Caps[[#Totals],[Estimated Raw Incentive Total]], "")</f>
        <v/>
      </c>
      <c r="J136" s="66" t="e">
        <f>#REF!</f>
        <v>#REF!</v>
      </c>
      <c r="K136" s="70" t="str">
        <f t="shared" si="5"/>
        <v>Version 4.0</v>
      </c>
      <c r="L136" s="71" t="e">
        <f>#REF!</f>
        <v>#REF!</v>
      </c>
      <c r="M136" s="68" t="e">
        <f>#REF!</f>
        <v>#REF!</v>
      </c>
    </row>
    <row r="137" spans="1:13" hidden="1" x14ac:dyDescent="0.2">
      <c r="A137" s="65" t="s">
        <v>146</v>
      </c>
      <c r="B137" s="66">
        <f t="shared" si="6"/>
        <v>0</v>
      </c>
      <c r="C137" s="66">
        <v>5</v>
      </c>
      <c r="D137" s="66" t="e">
        <f>#REF!</f>
        <v>#REF!</v>
      </c>
      <c r="E137" s="66" t="e">
        <f>#REF!</f>
        <v>#REF!</v>
      </c>
      <c r="F137" s="66" t="e">
        <f>#REF!</f>
        <v>#REF!</v>
      </c>
      <c r="G137" s="67" t="e">
        <f>#REF!</f>
        <v>#REF!</v>
      </c>
      <c r="H137" s="90" t="e">
        <f>#REF!</f>
        <v>#REF!</v>
      </c>
      <c r="I137" s="69" t="str">
        <f>IFERROR(M137*MIN(Table_Measure_Caps[[#Totals],[Estimated Raw Incentive Total]], Table_Measure_Caps[[#Totals],[Gross Measure Cost Total]], Value_Project_CAP)/Table_Measure_Caps[[#Totals],[Estimated Raw Incentive Total]], "")</f>
        <v/>
      </c>
      <c r="J137" s="66" t="e">
        <f>#REF!</f>
        <v>#REF!</v>
      </c>
      <c r="K137" s="70" t="str">
        <f t="shared" si="5"/>
        <v>Version 4.0</v>
      </c>
      <c r="L137" s="71" t="e">
        <f>#REF!</f>
        <v>#REF!</v>
      </c>
      <c r="M137" s="68" t="e">
        <f>#REF!</f>
        <v>#REF!</v>
      </c>
    </row>
    <row r="138" spans="1:13" hidden="1" x14ac:dyDescent="0.2">
      <c r="A138" s="65" t="s">
        <v>146</v>
      </c>
      <c r="B138" s="72">
        <f t="shared" si="6"/>
        <v>0</v>
      </c>
      <c r="C138" s="72">
        <v>6</v>
      </c>
      <c r="D138" s="66" t="e">
        <f>#REF!</f>
        <v>#REF!</v>
      </c>
      <c r="E138" s="66" t="e">
        <f>#REF!</f>
        <v>#REF!</v>
      </c>
      <c r="F138" s="66" t="e">
        <f>#REF!</f>
        <v>#REF!</v>
      </c>
      <c r="G138" s="67" t="e">
        <f>#REF!</f>
        <v>#REF!</v>
      </c>
      <c r="H138" s="90" t="e">
        <f>#REF!</f>
        <v>#REF!</v>
      </c>
      <c r="I138" s="69" t="str">
        <f>IFERROR(M138*MIN(Table_Measure_Caps[[#Totals],[Estimated Raw Incentive Total]], Table_Measure_Caps[[#Totals],[Gross Measure Cost Total]], Value_Project_CAP)/Table_Measure_Caps[[#Totals],[Estimated Raw Incentive Total]], "")</f>
        <v/>
      </c>
      <c r="J138" s="66" t="e">
        <f>#REF!</f>
        <v>#REF!</v>
      </c>
      <c r="K138" s="70" t="str">
        <f t="shared" si="5"/>
        <v>Version 4.0</v>
      </c>
      <c r="L138" s="71" t="e">
        <f>#REF!</f>
        <v>#REF!</v>
      </c>
      <c r="M138" s="68" t="e">
        <f>#REF!</f>
        <v>#REF!</v>
      </c>
    </row>
    <row r="139" spans="1:13" hidden="1" x14ac:dyDescent="0.2">
      <c r="A139" s="65" t="s">
        <v>146</v>
      </c>
      <c r="B139" s="66">
        <f t="shared" si="6"/>
        <v>0</v>
      </c>
      <c r="C139" s="66">
        <v>7</v>
      </c>
      <c r="D139" s="66" t="e">
        <f>#REF!</f>
        <v>#REF!</v>
      </c>
      <c r="E139" s="66" t="e">
        <f>#REF!</f>
        <v>#REF!</v>
      </c>
      <c r="F139" s="66" t="e">
        <f>#REF!</f>
        <v>#REF!</v>
      </c>
      <c r="G139" s="67" t="e">
        <f>#REF!</f>
        <v>#REF!</v>
      </c>
      <c r="H139" s="90" t="e">
        <f>#REF!</f>
        <v>#REF!</v>
      </c>
      <c r="I139" s="69" t="str">
        <f>IFERROR(M139*MIN(Table_Measure_Caps[[#Totals],[Estimated Raw Incentive Total]], Table_Measure_Caps[[#Totals],[Gross Measure Cost Total]], Value_Project_CAP)/Table_Measure_Caps[[#Totals],[Estimated Raw Incentive Total]], "")</f>
        <v/>
      </c>
      <c r="J139" s="66" t="e">
        <f>#REF!</f>
        <v>#REF!</v>
      </c>
      <c r="K139" s="70" t="str">
        <f t="shared" si="5"/>
        <v>Version 4.0</v>
      </c>
      <c r="L139" s="71" t="e">
        <f>#REF!</f>
        <v>#REF!</v>
      </c>
      <c r="M139" s="68" t="e">
        <f>#REF!</f>
        <v>#REF!</v>
      </c>
    </row>
    <row r="140" spans="1:13" hidden="1" x14ac:dyDescent="0.2">
      <c r="A140" s="65" t="s">
        <v>146</v>
      </c>
      <c r="B140" s="72">
        <f t="shared" si="6"/>
        <v>0</v>
      </c>
      <c r="C140" s="72">
        <v>8</v>
      </c>
      <c r="D140" s="66" t="e">
        <f>#REF!</f>
        <v>#REF!</v>
      </c>
      <c r="E140" s="66" t="e">
        <f>#REF!</f>
        <v>#REF!</v>
      </c>
      <c r="F140" s="66" t="e">
        <f>#REF!</f>
        <v>#REF!</v>
      </c>
      <c r="G140" s="67" t="e">
        <f>#REF!</f>
        <v>#REF!</v>
      </c>
      <c r="H140" s="90" t="e">
        <f>#REF!</f>
        <v>#REF!</v>
      </c>
      <c r="I140" s="69" t="str">
        <f>IFERROR(M140*MIN(Table_Measure_Caps[[#Totals],[Estimated Raw Incentive Total]], Table_Measure_Caps[[#Totals],[Gross Measure Cost Total]], Value_Project_CAP)/Table_Measure_Caps[[#Totals],[Estimated Raw Incentive Total]], "")</f>
        <v/>
      </c>
      <c r="J140" s="66" t="e">
        <f>#REF!</f>
        <v>#REF!</v>
      </c>
      <c r="K140" s="70" t="str">
        <f t="shared" si="5"/>
        <v>Version 4.0</v>
      </c>
      <c r="L140" s="71" t="e">
        <f>#REF!</f>
        <v>#REF!</v>
      </c>
      <c r="M140" s="68" t="e">
        <f>#REF!</f>
        <v>#REF!</v>
      </c>
    </row>
    <row r="141" spans="1:13" hidden="1" x14ac:dyDescent="0.2">
      <c r="A141" s="65" t="s">
        <v>146</v>
      </c>
      <c r="B141" s="66">
        <f t="shared" si="6"/>
        <v>0</v>
      </c>
      <c r="C141" s="66">
        <v>9</v>
      </c>
      <c r="D141" s="66" t="e">
        <f>#REF!</f>
        <v>#REF!</v>
      </c>
      <c r="E141" s="66" t="e">
        <f>#REF!</f>
        <v>#REF!</v>
      </c>
      <c r="F141" s="66" t="e">
        <f>#REF!</f>
        <v>#REF!</v>
      </c>
      <c r="G141" s="67" t="e">
        <f>#REF!</f>
        <v>#REF!</v>
      </c>
      <c r="H141" s="90" t="e">
        <f>#REF!</f>
        <v>#REF!</v>
      </c>
      <c r="I141" s="69" t="str">
        <f>IFERROR(M141*MIN(Table_Measure_Caps[[#Totals],[Estimated Raw Incentive Total]], Table_Measure_Caps[[#Totals],[Gross Measure Cost Total]], Value_Project_CAP)/Table_Measure_Caps[[#Totals],[Estimated Raw Incentive Total]], "")</f>
        <v/>
      </c>
      <c r="J141" s="66" t="e">
        <f>#REF!</f>
        <v>#REF!</v>
      </c>
      <c r="K141" s="70" t="str">
        <f t="shared" si="5"/>
        <v>Version 4.0</v>
      </c>
      <c r="L141" s="71" t="e">
        <f>#REF!</f>
        <v>#REF!</v>
      </c>
      <c r="M141" s="68" t="e">
        <f>#REF!</f>
        <v>#REF!</v>
      </c>
    </row>
    <row r="142" spans="1:13" hidden="1" x14ac:dyDescent="0.2">
      <c r="A142" s="65" t="s">
        <v>146</v>
      </c>
      <c r="B142" s="72">
        <f t="shared" si="6"/>
        <v>0</v>
      </c>
      <c r="C142" s="72">
        <v>10</v>
      </c>
      <c r="D142" s="66" t="e">
        <f>#REF!</f>
        <v>#REF!</v>
      </c>
      <c r="E142" s="66" t="e">
        <f>#REF!</f>
        <v>#REF!</v>
      </c>
      <c r="F142" s="66" t="e">
        <f>#REF!</f>
        <v>#REF!</v>
      </c>
      <c r="G142" s="67" t="e">
        <f>#REF!</f>
        <v>#REF!</v>
      </c>
      <c r="H142" s="90" t="e">
        <f>#REF!</f>
        <v>#REF!</v>
      </c>
      <c r="I142" s="69" t="str">
        <f>IFERROR(M142*MIN(Table_Measure_Caps[[#Totals],[Estimated Raw Incentive Total]], Table_Measure_Caps[[#Totals],[Gross Measure Cost Total]], Value_Project_CAP)/Table_Measure_Caps[[#Totals],[Estimated Raw Incentive Total]], "")</f>
        <v/>
      </c>
      <c r="J142" s="66" t="e">
        <f>#REF!</f>
        <v>#REF!</v>
      </c>
      <c r="K142" s="70" t="str">
        <f t="shared" si="5"/>
        <v>Version 4.0</v>
      </c>
      <c r="L142" s="71" t="e">
        <f>#REF!</f>
        <v>#REF!</v>
      </c>
      <c r="M142" s="68" t="e">
        <f>#REF!</f>
        <v>#REF!</v>
      </c>
    </row>
    <row r="143" spans="1:13" hidden="1" x14ac:dyDescent="0.2">
      <c r="A143" s="65" t="s">
        <v>146</v>
      </c>
      <c r="B143" s="66">
        <f t="shared" si="6"/>
        <v>0</v>
      </c>
      <c r="C143" s="66">
        <v>11</v>
      </c>
      <c r="D143" s="66" t="e">
        <f>#REF!</f>
        <v>#REF!</v>
      </c>
      <c r="E143" s="66" t="e">
        <f>#REF!</f>
        <v>#REF!</v>
      </c>
      <c r="F143" s="66" t="e">
        <f>#REF!</f>
        <v>#REF!</v>
      </c>
      <c r="G143" s="67" t="e">
        <f>#REF!</f>
        <v>#REF!</v>
      </c>
      <c r="H143" s="90" t="e">
        <f>#REF!</f>
        <v>#REF!</v>
      </c>
      <c r="I143" s="69" t="str">
        <f>IFERROR(M143*MIN(Table_Measure_Caps[[#Totals],[Estimated Raw Incentive Total]], Table_Measure_Caps[[#Totals],[Gross Measure Cost Total]], Value_Project_CAP)/Table_Measure_Caps[[#Totals],[Estimated Raw Incentive Total]], "")</f>
        <v/>
      </c>
      <c r="J143" s="66" t="e">
        <f>#REF!</f>
        <v>#REF!</v>
      </c>
      <c r="K143" s="70" t="str">
        <f t="shared" si="5"/>
        <v>Version 4.0</v>
      </c>
      <c r="L143" s="71" t="e">
        <f>#REF!</f>
        <v>#REF!</v>
      </c>
      <c r="M143" s="68" t="e">
        <f>#REF!</f>
        <v>#REF!</v>
      </c>
    </row>
    <row r="144" spans="1:13" hidden="1" x14ac:dyDescent="0.2">
      <c r="A144" s="65" t="s">
        <v>146</v>
      </c>
      <c r="B144" s="72">
        <f t="shared" si="6"/>
        <v>0</v>
      </c>
      <c r="C144" s="72">
        <v>12</v>
      </c>
      <c r="D144" s="66" t="e">
        <f>#REF!</f>
        <v>#REF!</v>
      </c>
      <c r="E144" s="66" t="e">
        <f>#REF!</f>
        <v>#REF!</v>
      </c>
      <c r="F144" s="66" t="e">
        <f>#REF!</f>
        <v>#REF!</v>
      </c>
      <c r="G144" s="67" t="e">
        <f>#REF!</f>
        <v>#REF!</v>
      </c>
      <c r="H144" s="90" t="e">
        <f>#REF!</f>
        <v>#REF!</v>
      </c>
      <c r="I144" s="69" t="str">
        <f>IFERROR(M144*MIN(Table_Measure_Caps[[#Totals],[Estimated Raw Incentive Total]], Table_Measure_Caps[[#Totals],[Gross Measure Cost Total]], Value_Project_CAP)/Table_Measure_Caps[[#Totals],[Estimated Raw Incentive Total]], "")</f>
        <v/>
      </c>
      <c r="J144" s="66" t="e">
        <f>#REF!</f>
        <v>#REF!</v>
      </c>
      <c r="K144" s="70" t="str">
        <f t="shared" si="5"/>
        <v>Version 4.0</v>
      </c>
      <c r="L144" s="71" t="e">
        <f>#REF!</f>
        <v>#REF!</v>
      </c>
      <c r="M144" s="68" t="e">
        <f>#REF!</f>
        <v>#REF!</v>
      </c>
    </row>
    <row r="145" spans="1:13" hidden="1" x14ac:dyDescent="0.2">
      <c r="A145" s="65" t="s">
        <v>146</v>
      </c>
      <c r="B145" s="66">
        <f t="shared" si="6"/>
        <v>0</v>
      </c>
      <c r="C145" s="66">
        <v>13</v>
      </c>
      <c r="D145" s="66" t="e">
        <f>#REF!</f>
        <v>#REF!</v>
      </c>
      <c r="E145" s="66" t="e">
        <f>#REF!</f>
        <v>#REF!</v>
      </c>
      <c r="F145" s="66" t="e">
        <f>#REF!</f>
        <v>#REF!</v>
      </c>
      <c r="G145" s="67" t="e">
        <f>#REF!</f>
        <v>#REF!</v>
      </c>
      <c r="H145" s="90" t="e">
        <f>#REF!</f>
        <v>#REF!</v>
      </c>
      <c r="I145" s="69" t="str">
        <f>IFERROR(M145*MIN(Table_Measure_Caps[[#Totals],[Estimated Raw Incentive Total]], Table_Measure_Caps[[#Totals],[Gross Measure Cost Total]], Value_Project_CAP)/Table_Measure_Caps[[#Totals],[Estimated Raw Incentive Total]], "")</f>
        <v/>
      </c>
      <c r="J145" s="66" t="e">
        <f>#REF!</f>
        <v>#REF!</v>
      </c>
      <c r="K145" s="70" t="str">
        <f t="shared" si="5"/>
        <v>Version 4.0</v>
      </c>
      <c r="L145" s="71" t="e">
        <f>#REF!</f>
        <v>#REF!</v>
      </c>
      <c r="M145" s="68" t="e">
        <f>#REF!</f>
        <v>#REF!</v>
      </c>
    </row>
    <row r="146" spans="1:13" hidden="1" x14ac:dyDescent="0.2">
      <c r="A146" s="65" t="s">
        <v>146</v>
      </c>
      <c r="B146" s="72">
        <f t="shared" si="6"/>
        <v>0</v>
      </c>
      <c r="C146" s="72">
        <v>14</v>
      </c>
      <c r="D146" s="66" t="e">
        <f>#REF!</f>
        <v>#REF!</v>
      </c>
      <c r="E146" s="66" t="e">
        <f>#REF!</f>
        <v>#REF!</v>
      </c>
      <c r="F146" s="66" t="e">
        <f>#REF!</f>
        <v>#REF!</v>
      </c>
      <c r="G146" s="67" t="e">
        <f>#REF!</f>
        <v>#REF!</v>
      </c>
      <c r="H146" s="90" t="e">
        <f>#REF!</f>
        <v>#REF!</v>
      </c>
      <c r="I146" s="69" t="str">
        <f>IFERROR(M146*MIN(Table_Measure_Caps[[#Totals],[Estimated Raw Incentive Total]], Table_Measure_Caps[[#Totals],[Gross Measure Cost Total]], Value_Project_CAP)/Table_Measure_Caps[[#Totals],[Estimated Raw Incentive Total]], "")</f>
        <v/>
      </c>
      <c r="J146" s="66" t="e">
        <f>#REF!</f>
        <v>#REF!</v>
      </c>
      <c r="K146" s="70" t="str">
        <f t="shared" si="5"/>
        <v>Version 4.0</v>
      </c>
      <c r="L146" s="71" t="e">
        <f>#REF!</f>
        <v>#REF!</v>
      </c>
      <c r="M146" s="68" t="e">
        <f>#REF!</f>
        <v>#REF!</v>
      </c>
    </row>
    <row r="147" spans="1:13" hidden="1" x14ac:dyDescent="0.2">
      <c r="A147" s="65" t="s">
        <v>146</v>
      </c>
      <c r="B147" s="66">
        <f t="shared" si="6"/>
        <v>0</v>
      </c>
      <c r="C147" s="66">
        <v>15</v>
      </c>
      <c r="D147" s="66" t="e">
        <f>#REF!</f>
        <v>#REF!</v>
      </c>
      <c r="E147" s="66" t="e">
        <f>#REF!</f>
        <v>#REF!</v>
      </c>
      <c r="F147" s="66" t="e">
        <f>#REF!</f>
        <v>#REF!</v>
      </c>
      <c r="G147" s="67" t="e">
        <f>#REF!</f>
        <v>#REF!</v>
      </c>
      <c r="H147" s="90" t="e">
        <f>#REF!</f>
        <v>#REF!</v>
      </c>
      <c r="I147" s="69" t="str">
        <f>IFERROR(M147*MIN(Table_Measure_Caps[[#Totals],[Estimated Raw Incentive Total]], Table_Measure_Caps[[#Totals],[Gross Measure Cost Total]], Value_Project_CAP)/Table_Measure_Caps[[#Totals],[Estimated Raw Incentive Total]], "")</f>
        <v/>
      </c>
      <c r="J147" s="66" t="e">
        <f>#REF!</f>
        <v>#REF!</v>
      </c>
      <c r="K147" s="70" t="str">
        <f t="shared" si="5"/>
        <v>Version 4.0</v>
      </c>
      <c r="L147" s="71" t="e">
        <f>#REF!</f>
        <v>#REF!</v>
      </c>
      <c r="M147" s="68" t="e">
        <f>#REF!</f>
        <v>#REF!</v>
      </c>
    </row>
    <row r="148" spans="1:13" hidden="1" x14ac:dyDescent="0.2">
      <c r="A148" s="65" t="s">
        <v>146</v>
      </c>
      <c r="B148" s="72">
        <f t="shared" si="6"/>
        <v>0</v>
      </c>
      <c r="C148" s="72">
        <v>16</v>
      </c>
      <c r="D148" s="66" t="e">
        <f>#REF!</f>
        <v>#REF!</v>
      </c>
      <c r="E148" s="66" t="e">
        <f>#REF!</f>
        <v>#REF!</v>
      </c>
      <c r="F148" s="66" t="e">
        <f>#REF!</f>
        <v>#REF!</v>
      </c>
      <c r="G148" s="67" t="e">
        <f>#REF!</f>
        <v>#REF!</v>
      </c>
      <c r="H148" s="90" t="e">
        <f>#REF!</f>
        <v>#REF!</v>
      </c>
      <c r="I148" s="69" t="str">
        <f>IFERROR(M148*MIN(Table_Measure_Caps[[#Totals],[Estimated Raw Incentive Total]], Table_Measure_Caps[[#Totals],[Gross Measure Cost Total]], Value_Project_CAP)/Table_Measure_Caps[[#Totals],[Estimated Raw Incentive Total]], "")</f>
        <v/>
      </c>
      <c r="J148" s="66" t="e">
        <f>#REF!</f>
        <v>#REF!</v>
      </c>
      <c r="K148" s="70" t="str">
        <f t="shared" si="5"/>
        <v>Version 4.0</v>
      </c>
      <c r="L148" s="71" t="e">
        <f>#REF!</f>
        <v>#REF!</v>
      </c>
      <c r="M148" s="68" t="e">
        <f>#REF!</f>
        <v>#REF!</v>
      </c>
    </row>
    <row r="149" spans="1:13" hidden="1" x14ac:dyDescent="0.2">
      <c r="A149" s="65" t="s">
        <v>146</v>
      </c>
      <c r="B149" s="66">
        <f t="shared" si="6"/>
        <v>0</v>
      </c>
      <c r="C149" s="66">
        <v>17</v>
      </c>
      <c r="D149" s="66" t="e">
        <f>#REF!</f>
        <v>#REF!</v>
      </c>
      <c r="E149" s="66" t="e">
        <f>#REF!</f>
        <v>#REF!</v>
      </c>
      <c r="F149" s="66" t="e">
        <f>#REF!</f>
        <v>#REF!</v>
      </c>
      <c r="G149" s="67" t="e">
        <f>#REF!</f>
        <v>#REF!</v>
      </c>
      <c r="H149" s="90" t="e">
        <f>#REF!</f>
        <v>#REF!</v>
      </c>
      <c r="I149" s="69" t="str">
        <f>IFERROR(M149*MIN(Table_Measure_Caps[[#Totals],[Estimated Raw Incentive Total]], Table_Measure_Caps[[#Totals],[Gross Measure Cost Total]], Value_Project_CAP)/Table_Measure_Caps[[#Totals],[Estimated Raw Incentive Total]], "")</f>
        <v/>
      </c>
      <c r="J149" s="66" t="e">
        <f>#REF!</f>
        <v>#REF!</v>
      </c>
      <c r="K149" s="70" t="str">
        <f t="shared" si="5"/>
        <v>Version 4.0</v>
      </c>
      <c r="L149" s="71" t="e">
        <f>#REF!</f>
        <v>#REF!</v>
      </c>
      <c r="M149" s="68" t="e">
        <f>#REF!</f>
        <v>#REF!</v>
      </c>
    </row>
    <row r="150" spans="1:13" hidden="1" x14ac:dyDescent="0.2">
      <c r="A150" s="65" t="s">
        <v>146</v>
      </c>
      <c r="B150" s="72">
        <f t="shared" si="6"/>
        <v>0</v>
      </c>
      <c r="C150" s="72">
        <v>18</v>
      </c>
      <c r="D150" s="66" t="e">
        <f>#REF!</f>
        <v>#REF!</v>
      </c>
      <c r="E150" s="66" t="e">
        <f>#REF!</f>
        <v>#REF!</v>
      </c>
      <c r="F150" s="66" t="e">
        <f>#REF!</f>
        <v>#REF!</v>
      </c>
      <c r="G150" s="67" t="e">
        <f>#REF!</f>
        <v>#REF!</v>
      </c>
      <c r="H150" s="90" t="e">
        <f>#REF!</f>
        <v>#REF!</v>
      </c>
      <c r="I150" s="69" t="str">
        <f>IFERROR(M150*MIN(Table_Measure_Caps[[#Totals],[Estimated Raw Incentive Total]], Table_Measure_Caps[[#Totals],[Gross Measure Cost Total]], Value_Project_CAP)/Table_Measure_Caps[[#Totals],[Estimated Raw Incentive Total]], "")</f>
        <v/>
      </c>
      <c r="J150" s="66" t="e">
        <f>#REF!</f>
        <v>#REF!</v>
      </c>
      <c r="K150" s="70" t="str">
        <f t="shared" si="5"/>
        <v>Version 4.0</v>
      </c>
      <c r="L150" s="71" t="e">
        <f>#REF!</f>
        <v>#REF!</v>
      </c>
      <c r="M150" s="68" t="e">
        <f>#REF!</f>
        <v>#REF!</v>
      </c>
    </row>
    <row r="151" spans="1:13" hidden="1" x14ac:dyDescent="0.2">
      <c r="A151" s="65" t="s">
        <v>146</v>
      </c>
      <c r="B151" s="66">
        <f t="shared" si="6"/>
        <v>0</v>
      </c>
      <c r="C151" s="66">
        <v>19</v>
      </c>
      <c r="D151" s="66" t="e">
        <f>#REF!</f>
        <v>#REF!</v>
      </c>
      <c r="E151" s="66" t="e">
        <f>#REF!</f>
        <v>#REF!</v>
      </c>
      <c r="F151" s="66" t="e">
        <f>#REF!</f>
        <v>#REF!</v>
      </c>
      <c r="G151" s="67" t="e">
        <f>#REF!</f>
        <v>#REF!</v>
      </c>
      <c r="H151" s="90" t="e">
        <f>#REF!</f>
        <v>#REF!</v>
      </c>
      <c r="I151" s="69" t="str">
        <f>IFERROR(M151*MIN(Table_Measure_Caps[[#Totals],[Estimated Raw Incentive Total]], Table_Measure_Caps[[#Totals],[Gross Measure Cost Total]], Value_Project_CAP)/Table_Measure_Caps[[#Totals],[Estimated Raw Incentive Total]], "")</f>
        <v/>
      </c>
      <c r="J151" s="66" t="e">
        <f>#REF!</f>
        <v>#REF!</v>
      </c>
      <c r="K151" s="70" t="str">
        <f t="shared" si="5"/>
        <v>Version 4.0</v>
      </c>
      <c r="L151" s="71" t="e">
        <f>#REF!</f>
        <v>#REF!</v>
      </c>
      <c r="M151" s="68" t="e">
        <f>#REF!</f>
        <v>#REF!</v>
      </c>
    </row>
    <row r="152" spans="1:13" hidden="1" x14ac:dyDescent="0.2">
      <c r="A152" s="65" t="s">
        <v>146</v>
      </c>
      <c r="B152" s="72">
        <f t="shared" si="6"/>
        <v>0</v>
      </c>
      <c r="C152" s="72">
        <v>20</v>
      </c>
      <c r="D152" s="66" t="e">
        <f>#REF!</f>
        <v>#REF!</v>
      </c>
      <c r="E152" s="66" t="e">
        <f>#REF!</f>
        <v>#REF!</v>
      </c>
      <c r="F152" s="66" t="e">
        <f>#REF!</f>
        <v>#REF!</v>
      </c>
      <c r="G152" s="67" t="e">
        <f>#REF!</f>
        <v>#REF!</v>
      </c>
      <c r="H152" s="90" t="e">
        <f>#REF!</f>
        <v>#REF!</v>
      </c>
      <c r="I152" s="69" t="str">
        <f>IFERROR(M152*MIN(Table_Measure_Caps[[#Totals],[Estimated Raw Incentive Total]], Table_Measure_Caps[[#Totals],[Gross Measure Cost Total]], Value_Project_CAP)/Table_Measure_Caps[[#Totals],[Estimated Raw Incentive Total]], "")</f>
        <v/>
      </c>
      <c r="J152" s="66" t="e">
        <f>#REF!</f>
        <v>#REF!</v>
      </c>
      <c r="K152" s="70" t="str">
        <f t="shared" si="5"/>
        <v>Version 4.0</v>
      </c>
      <c r="L152" s="71" t="e">
        <f>#REF!</f>
        <v>#REF!</v>
      </c>
      <c r="M152" s="68" t="e">
        <f>#REF!</f>
        <v>#REF!</v>
      </c>
    </row>
    <row r="153" spans="1:13" hidden="1" x14ac:dyDescent="0.2">
      <c r="A153" s="65" t="s">
        <v>146</v>
      </c>
      <c r="B153" s="66">
        <f t="shared" si="6"/>
        <v>0</v>
      </c>
      <c r="C153" s="66">
        <v>21</v>
      </c>
      <c r="D153" s="66" t="e">
        <f>#REF!</f>
        <v>#REF!</v>
      </c>
      <c r="E153" s="66" t="e">
        <f>#REF!</f>
        <v>#REF!</v>
      </c>
      <c r="F153" s="66" t="e">
        <f>#REF!</f>
        <v>#REF!</v>
      </c>
      <c r="G153" s="67" t="e">
        <f>#REF!</f>
        <v>#REF!</v>
      </c>
      <c r="H153" s="90" t="e">
        <f>#REF!</f>
        <v>#REF!</v>
      </c>
      <c r="I153" s="69" t="str">
        <f>IFERROR(M153*MIN(Table_Measure_Caps[[#Totals],[Estimated Raw Incentive Total]], Table_Measure_Caps[[#Totals],[Gross Measure Cost Total]], Value_Project_CAP)/Table_Measure_Caps[[#Totals],[Estimated Raw Incentive Total]], "")</f>
        <v/>
      </c>
      <c r="J153" s="66" t="e">
        <f>#REF!</f>
        <v>#REF!</v>
      </c>
      <c r="K153" s="70" t="str">
        <f t="shared" si="5"/>
        <v>Version 4.0</v>
      </c>
      <c r="L153" s="71" t="e">
        <f>#REF!</f>
        <v>#REF!</v>
      </c>
      <c r="M153" s="68" t="e">
        <f>#REF!</f>
        <v>#REF!</v>
      </c>
    </row>
    <row r="154" spans="1:13" hidden="1" x14ac:dyDescent="0.2">
      <c r="A154" s="65" t="s">
        <v>146</v>
      </c>
      <c r="B154" s="72">
        <f t="shared" si="6"/>
        <v>0</v>
      </c>
      <c r="C154" s="72">
        <v>22</v>
      </c>
      <c r="D154" s="66" t="e">
        <f>#REF!</f>
        <v>#REF!</v>
      </c>
      <c r="E154" s="66" t="e">
        <f>#REF!</f>
        <v>#REF!</v>
      </c>
      <c r="F154" s="66" t="e">
        <f>#REF!</f>
        <v>#REF!</v>
      </c>
      <c r="G154" s="67" t="e">
        <f>#REF!</f>
        <v>#REF!</v>
      </c>
      <c r="H154" s="90" t="e">
        <f>#REF!</f>
        <v>#REF!</v>
      </c>
      <c r="I154" s="69" t="str">
        <f>IFERROR(M154*MIN(Table_Measure_Caps[[#Totals],[Estimated Raw Incentive Total]], Table_Measure_Caps[[#Totals],[Gross Measure Cost Total]], Value_Project_CAP)/Table_Measure_Caps[[#Totals],[Estimated Raw Incentive Total]], "")</f>
        <v/>
      </c>
      <c r="J154" s="66" t="e">
        <f>#REF!</f>
        <v>#REF!</v>
      </c>
      <c r="K154" s="70" t="str">
        <f t="shared" si="5"/>
        <v>Version 4.0</v>
      </c>
      <c r="L154" s="71" t="e">
        <f>#REF!</f>
        <v>#REF!</v>
      </c>
      <c r="M154" s="68" t="e">
        <f>#REF!</f>
        <v>#REF!</v>
      </c>
    </row>
    <row r="155" spans="1:13" hidden="1" x14ac:dyDescent="0.2">
      <c r="A155" s="65" t="s">
        <v>146</v>
      </c>
      <c r="B155" s="66">
        <f t="shared" si="6"/>
        <v>0</v>
      </c>
      <c r="C155" s="66">
        <v>23</v>
      </c>
      <c r="D155" s="66" t="e">
        <f>#REF!</f>
        <v>#REF!</v>
      </c>
      <c r="E155" s="66" t="e">
        <f>#REF!</f>
        <v>#REF!</v>
      </c>
      <c r="F155" s="66" t="e">
        <f>#REF!</f>
        <v>#REF!</v>
      </c>
      <c r="G155" s="67" t="e">
        <f>#REF!</f>
        <v>#REF!</v>
      </c>
      <c r="H155" s="90" t="e">
        <f>#REF!</f>
        <v>#REF!</v>
      </c>
      <c r="I155" s="69" t="str">
        <f>IFERROR(M155*MIN(Table_Measure_Caps[[#Totals],[Estimated Raw Incentive Total]], Table_Measure_Caps[[#Totals],[Gross Measure Cost Total]], Value_Project_CAP)/Table_Measure_Caps[[#Totals],[Estimated Raw Incentive Total]], "")</f>
        <v/>
      </c>
      <c r="J155" s="66" t="e">
        <f>#REF!</f>
        <v>#REF!</v>
      </c>
      <c r="K155" s="70" t="str">
        <f t="shared" si="5"/>
        <v>Version 4.0</v>
      </c>
      <c r="L155" s="71" t="e">
        <f>#REF!</f>
        <v>#REF!</v>
      </c>
      <c r="M155" s="68" t="e">
        <f>#REF!</f>
        <v>#REF!</v>
      </c>
    </row>
    <row r="156" spans="1:13" hidden="1" x14ac:dyDescent="0.2">
      <c r="A156" s="65" t="s">
        <v>146</v>
      </c>
      <c r="B156" s="72">
        <f t="shared" si="6"/>
        <v>0</v>
      </c>
      <c r="C156" s="72">
        <v>24</v>
      </c>
      <c r="D156" s="66" t="e">
        <f>#REF!</f>
        <v>#REF!</v>
      </c>
      <c r="E156" s="66" t="e">
        <f>#REF!</f>
        <v>#REF!</v>
      </c>
      <c r="F156" s="66" t="e">
        <f>#REF!</f>
        <v>#REF!</v>
      </c>
      <c r="G156" s="67" t="e">
        <f>#REF!</f>
        <v>#REF!</v>
      </c>
      <c r="H156" s="90" t="e">
        <f>#REF!</f>
        <v>#REF!</v>
      </c>
      <c r="I156" s="69" t="str">
        <f>IFERROR(M156*MIN(Table_Measure_Caps[[#Totals],[Estimated Raw Incentive Total]], Table_Measure_Caps[[#Totals],[Gross Measure Cost Total]], Value_Project_CAP)/Table_Measure_Caps[[#Totals],[Estimated Raw Incentive Total]], "")</f>
        <v/>
      </c>
      <c r="J156" s="66" t="e">
        <f>#REF!</f>
        <v>#REF!</v>
      </c>
      <c r="K156" s="70" t="str">
        <f t="shared" si="5"/>
        <v>Version 4.0</v>
      </c>
      <c r="L156" s="71" t="e">
        <f>#REF!</f>
        <v>#REF!</v>
      </c>
      <c r="M156" s="68" t="e">
        <f>#REF!</f>
        <v>#REF!</v>
      </c>
    </row>
    <row r="157" spans="1:13" hidden="1" x14ac:dyDescent="0.2">
      <c r="A157" s="65" t="s">
        <v>146</v>
      </c>
      <c r="B157" s="66">
        <f t="shared" si="6"/>
        <v>0</v>
      </c>
      <c r="C157" s="66">
        <v>25</v>
      </c>
      <c r="D157" s="66" t="e">
        <f>#REF!</f>
        <v>#REF!</v>
      </c>
      <c r="E157" s="66" t="e">
        <f>#REF!</f>
        <v>#REF!</v>
      </c>
      <c r="F157" s="66" t="e">
        <f>#REF!</f>
        <v>#REF!</v>
      </c>
      <c r="G157" s="67" t="e">
        <f>#REF!</f>
        <v>#REF!</v>
      </c>
      <c r="H157" s="90" t="e">
        <f>#REF!</f>
        <v>#REF!</v>
      </c>
      <c r="I157" s="69" t="str">
        <f>IFERROR(M157*MIN(Table_Measure_Caps[[#Totals],[Estimated Raw Incentive Total]], Table_Measure_Caps[[#Totals],[Gross Measure Cost Total]], Value_Project_CAP)/Table_Measure_Caps[[#Totals],[Estimated Raw Incentive Total]], "")</f>
        <v/>
      </c>
      <c r="J157" s="66" t="e">
        <f>#REF!</f>
        <v>#REF!</v>
      </c>
      <c r="K157" s="70" t="str">
        <f t="shared" si="5"/>
        <v>Version 4.0</v>
      </c>
      <c r="L157" s="71" t="e">
        <f>#REF!</f>
        <v>#REF!</v>
      </c>
      <c r="M157" s="68" t="e">
        <f>#REF!</f>
        <v>#REF!</v>
      </c>
    </row>
    <row r="158" spans="1:13" hidden="1" x14ac:dyDescent="0.2">
      <c r="A158" s="65" t="s">
        <v>146</v>
      </c>
      <c r="B158" s="72">
        <f t="shared" si="6"/>
        <v>0</v>
      </c>
      <c r="C158" s="72">
        <v>26</v>
      </c>
      <c r="D158" s="66" t="e">
        <f>#REF!</f>
        <v>#REF!</v>
      </c>
      <c r="E158" s="66" t="e">
        <f>#REF!</f>
        <v>#REF!</v>
      </c>
      <c r="F158" s="66" t="e">
        <f>#REF!</f>
        <v>#REF!</v>
      </c>
      <c r="G158" s="67" t="e">
        <f>#REF!</f>
        <v>#REF!</v>
      </c>
      <c r="H158" s="90" t="e">
        <f>#REF!</f>
        <v>#REF!</v>
      </c>
      <c r="I158" s="69" t="str">
        <f>IFERROR(M158*MIN(Table_Measure_Caps[[#Totals],[Estimated Raw Incentive Total]], Table_Measure_Caps[[#Totals],[Gross Measure Cost Total]], Value_Project_CAP)/Table_Measure_Caps[[#Totals],[Estimated Raw Incentive Total]], "")</f>
        <v/>
      </c>
      <c r="J158" s="66" t="e">
        <f>#REF!</f>
        <v>#REF!</v>
      </c>
      <c r="K158" s="70" t="str">
        <f t="shared" si="5"/>
        <v>Version 4.0</v>
      </c>
      <c r="L158" s="71" t="e">
        <f>#REF!</f>
        <v>#REF!</v>
      </c>
      <c r="M158" s="68" t="e">
        <f>#REF!</f>
        <v>#REF!</v>
      </c>
    </row>
    <row r="159" spans="1:13" hidden="1" x14ac:dyDescent="0.2">
      <c r="A159" s="65" t="s">
        <v>146</v>
      </c>
      <c r="B159" s="66">
        <f t="shared" si="6"/>
        <v>0</v>
      </c>
      <c r="C159" s="66">
        <v>27</v>
      </c>
      <c r="D159" s="66" t="e">
        <f>#REF!</f>
        <v>#REF!</v>
      </c>
      <c r="E159" s="66" t="e">
        <f>#REF!</f>
        <v>#REF!</v>
      </c>
      <c r="F159" s="66" t="e">
        <f>#REF!</f>
        <v>#REF!</v>
      </c>
      <c r="G159" s="67" t="e">
        <f>#REF!</f>
        <v>#REF!</v>
      </c>
      <c r="H159" s="90" t="e">
        <f>#REF!</f>
        <v>#REF!</v>
      </c>
      <c r="I159" s="69" t="str">
        <f>IFERROR(M159*MIN(Table_Measure_Caps[[#Totals],[Estimated Raw Incentive Total]], Table_Measure_Caps[[#Totals],[Gross Measure Cost Total]], Value_Project_CAP)/Table_Measure_Caps[[#Totals],[Estimated Raw Incentive Total]], "")</f>
        <v/>
      </c>
      <c r="J159" s="66" t="e">
        <f>#REF!</f>
        <v>#REF!</v>
      </c>
      <c r="K159" s="70" t="str">
        <f t="shared" si="5"/>
        <v>Version 4.0</v>
      </c>
      <c r="L159" s="71" t="e">
        <f>#REF!</f>
        <v>#REF!</v>
      </c>
      <c r="M159" s="68" t="e">
        <f>#REF!</f>
        <v>#REF!</v>
      </c>
    </row>
    <row r="160" spans="1:13" hidden="1" x14ac:dyDescent="0.2">
      <c r="A160" s="65" t="s">
        <v>146</v>
      </c>
      <c r="B160" s="72">
        <f t="shared" si="6"/>
        <v>0</v>
      </c>
      <c r="C160" s="72">
        <v>28</v>
      </c>
      <c r="D160" s="66" t="e">
        <f>#REF!</f>
        <v>#REF!</v>
      </c>
      <c r="E160" s="66" t="e">
        <f>#REF!</f>
        <v>#REF!</v>
      </c>
      <c r="F160" s="66" t="e">
        <f>#REF!</f>
        <v>#REF!</v>
      </c>
      <c r="G160" s="67" t="e">
        <f>#REF!</f>
        <v>#REF!</v>
      </c>
      <c r="H160" s="90" t="e">
        <f>#REF!</f>
        <v>#REF!</v>
      </c>
      <c r="I160" s="69" t="str">
        <f>IFERROR(M160*MIN(Table_Measure_Caps[[#Totals],[Estimated Raw Incentive Total]], Table_Measure_Caps[[#Totals],[Gross Measure Cost Total]], Value_Project_CAP)/Table_Measure_Caps[[#Totals],[Estimated Raw Incentive Total]], "")</f>
        <v/>
      </c>
      <c r="J160" s="66" t="e">
        <f>#REF!</f>
        <v>#REF!</v>
      </c>
      <c r="K160" s="70" t="str">
        <f t="shared" si="5"/>
        <v>Version 4.0</v>
      </c>
      <c r="L160" s="71" t="e">
        <f>#REF!</f>
        <v>#REF!</v>
      </c>
      <c r="M160" s="68" t="e">
        <f>#REF!</f>
        <v>#REF!</v>
      </c>
    </row>
    <row r="161" spans="1:13" hidden="1" x14ac:dyDescent="0.2">
      <c r="A161" s="65" t="s">
        <v>146</v>
      </c>
      <c r="B161" s="66">
        <f t="shared" si="6"/>
        <v>0</v>
      </c>
      <c r="C161" s="66">
        <v>29</v>
      </c>
      <c r="D161" s="66" t="e">
        <f>#REF!</f>
        <v>#REF!</v>
      </c>
      <c r="E161" s="66" t="e">
        <f>#REF!</f>
        <v>#REF!</v>
      </c>
      <c r="F161" s="66" t="e">
        <f>#REF!</f>
        <v>#REF!</v>
      </c>
      <c r="G161" s="67" t="e">
        <f>#REF!</f>
        <v>#REF!</v>
      </c>
      <c r="H161" s="90" t="e">
        <f>#REF!</f>
        <v>#REF!</v>
      </c>
      <c r="I161" s="69" t="str">
        <f>IFERROR(M161*MIN(Table_Measure_Caps[[#Totals],[Estimated Raw Incentive Total]], Table_Measure_Caps[[#Totals],[Gross Measure Cost Total]], Value_Project_CAP)/Table_Measure_Caps[[#Totals],[Estimated Raw Incentive Total]], "")</f>
        <v/>
      </c>
      <c r="J161" s="66" t="e">
        <f>#REF!</f>
        <v>#REF!</v>
      </c>
      <c r="K161" s="70" t="str">
        <f t="shared" si="5"/>
        <v>Version 4.0</v>
      </c>
      <c r="L161" s="71" t="e">
        <f>#REF!</f>
        <v>#REF!</v>
      </c>
      <c r="M161" s="68" t="e">
        <f>#REF!</f>
        <v>#REF!</v>
      </c>
    </row>
    <row r="162" spans="1:13" hidden="1" x14ac:dyDescent="0.2">
      <c r="A162" s="65" t="s">
        <v>146</v>
      </c>
      <c r="B162" s="72">
        <f t="shared" si="6"/>
        <v>0</v>
      </c>
      <c r="C162" s="72">
        <v>30</v>
      </c>
      <c r="D162" s="66" t="e">
        <f>#REF!</f>
        <v>#REF!</v>
      </c>
      <c r="E162" s="66" t="e">
        <f>#REF!</f>
        <v>#REF!</v>
      </c>
      <c r="F162" s="66" t="e">
        <f>#REF!</f>
        <v>#REF!</v>
      </c>
      <c r="G162" s="67" t="e">
        <f>#REF!</f>
        <v>#REF!</v>
      </c>
      <c r="H162" s="90" t="e">
        <f>#REF!</f>
        <v>#REF!</v>
      </c>
      <c r="I162" s="69" t="str">
        <f>IFERROR(M162*MIN(Table_Measure_Caps[[#Totals],[Estimated Raw Incentive Total]], Table_Measure_Caps[[#Totals],[Gross Measure Cost Total]], Value_Project_CAP)/Table_Measure_Caps[[#Totals],[Estimated Raw Incentive Total]], "")</f>
        <v/>
      </c>
      <c r="J162" s="66" t="e">
        <f>#REF!</f>
        <v>#REF!</v>
      </c>
      <c r="K162" s="70" t="str">
        <f t="shared" si="5"/>
        <v>Version 4.0</v>
      </c>
      <c r="L162" s="71" t="e">
        <f>#REF!</f>
        <v>#REF!</v>
      </c>
      <c r="M162" s="68" t="e">
        <f>#REF!</f>
        <v>#REF!</v>
      </c>
    </row>
    <row r="163" spans="1:13" hidden="1" x14ac:dyDescent="0.2">
      <c r="A163" s="73" t="s">
        <v>150</v>
      </c>
      <c r="B163" s="74">
        <f t="shared" si="6"/>
        <v>0</v>
      </c>
      <c r="C163" s="74">
        <v>1</v>
      </c>
      <c r="D163" s="74" t="e">
        <f>#REF!</f>
        <v>#REF!</v>
      </c>
      <c r="E163" s="74" t="e">
        <f>#REF!</f>
        <v>#REF!</v>
      </c>
      <c r="F163" s="74" t="e">
        <f>#REF!</f>
        <v>#REF!</v>
      </c>
      <c r="G163" s="75" t="e">
        <f>#REF!</f>
        <v>#REF!</v>
      </c>
      <c r="H163" s="91" t="e">
        <f>#REF!</f>
        <v>#REF!</v>
      </c>
      <c r="I163" s="77" t="str">
        <f>IFERROR(M163*MIN(Table_Measure_Caps[[#Totals],[Estimated Raw Incentive Total]], Table_Measure_Caps[[#Totals],[Gross Measure Cost Total]], Value_Project_CAP)/Table_Measure_Caps[[#Totals],[Estimated Raw Incentive Total]], "")</f>
        <v/>
      </c>
      <c r="J163" s="74" t="e">
        <f>#REF!</f>
        <v>#REF!</v>
      </c>
      <c r="K163" s="78" t="str">
        <f t="shared" si="5"/>
        <v>Version 4.0</v>
      </c>
      <c r="L163" s="79" t="e">
        <f>#REF!</f>
        <v>#REF!</v>
      </c>
      <c r="M163" s="76" t="e">
        <f>#REF!</f>
        <v>#REF!</v>
      </c>
    </row>
    <row r="164" spans="1:13" hidden="1" x14ac:dyDescent="0.2">
      <c r="A164" s="73" t="s">
        <v>150</v>
      </c>
      <c r="B164" s="74">
        <f t="shared" si="6"/>
        <v>0</v>
      </c>
      <c r="C164" s="74">
        <v>2</v>
      </c>
      <c r="D164" s="74" t="e">
        <f>#REF!</f>
        <v>#REF!</v>
      </c>
      <c r="E164" s="74" t="e">
        <f>#REF!</f>
        <v>#REF!</v>
      </c>
      <c r="F164" s="74" t="e">
        <f>#REF!</f>
        <v>#REF!</v>
      </c>
      <c r="G164" s="75" t="e">
        <f>#REF!</f>
        <v>#REF!</v>
      </c>
      <c r="H164" s="91" t="e">
        <f>#REF!</f>
        <v>#REF!</v>
      </c>
      <c r="I164" s="77" t="str">
        <f>IFERROR(M164*MIN(Table_Measure_Caps[[#Totals],[Estimated Raw Incentive Total]], Table_Measure_Caps[[#Totals],[Gross Measure Cost Total]], Value_Project_CAP)/Table_Measure_Caps[[#Totals],[Estimated Raw Incentive Total]], "")</f>
        <v/>
      </c>
      <c r="J164" s="74" t="e">
        <f>#REF!</f>
        <v>#REF!</v>
      </c>
      <c r="K164" s="78" t="str">
        <f t="shared" si="5"/>
        <v>Version 4.0</v>
      </c>
      <c r="L164" s="79" t="e">
        <f>#REF!</f>
        <v>#REF!</v>
      </c>
      <c r="M164" s="76" t="e">
        <f>#REF!</f>
        <v>#REF!</v>
      </c>
    </row>
    <row r="165" spans="1:13" hidden="1" x14ac:dyDescent="0.2">
      <c r="A165" s="73" t="s">
        <v>150</v>
      </c>
      <c r="B165" s="74">
        <f t="shared" ref="B165:B196" si="7">Input_ProjectNumber</f>
        <v>0</v>
      </c>
      <c r="C165" s="74">
        <v>3</v>
      </c>
      <c r="D165" s="74" t="e">
        <f>#REF!</f>
        <v>#REF!</v>
      </c>
      <c r="E165" s="74" t="e">
        <f>#REF!</f>
        <v>#REF!</v>
      </c>
      <c r="F165" s="74" t="e">
        <f>#REF!</f>
        <v>#REF!</v>
      </c>
      <c r="G165" s="75" t="e">
        <f>#REF!</f>
        <v>#REF!</v>
      </c>
      <c r="H165" s="91" t="e">
        <f>#REF!</f>
        <v>#REF!</v>
      </c>
      <c r="I165" s="77" t="str">
        <f>IFERROR(M165*MIN(Table_Measure_Caps[[#Totals],[Estimated Raw Incentive Total]], Table_Measure_Caps[[#Totals],[Gross Measure Cost Total]], Value_Project_CAP)/Table_Measure_Caps[[#Totals],[Estimated Raw Incentive Total]], "")</f>
        <v/>
      </c>
      <c r="J165" s="74" t="e">
        <f>#REF!</f>
        <v>#REF!</v>
      </c>
      <c r="K165" s="78" t="str">
        <f t="shared" si="5"/>
        <v>Version 4.0</v>
      </c>
      <c r="L165" s="79" t="e">
        <f>#REF!</f>
        <v>#REF!</v>
      </c>
      <c r="M165" s="76" t="e">
        <f>#REF!</f>
        <v>#REF!</v>
      </c>
    </row>
    <row r="166" spans="1:13" hidden="1" x14ac:dyDescent="0.2">
      <c r="A166" s="73" t="s">
        <v>150</v>
      </c>
      <c r="B166" s="74">
        <f t="shared" si="7"/>
        <v>0</v>
      </c>
      <c r="C166" s="74">
        <v>4</v>
      </c>
      <c r="D166" s="74" t="e">
        <f>#REF!</f>
        <v>#REF!</v>
      </c>
      <c r="E166" s="74" t="e">
        <f>#REF!</f>
        <v>#REF!</v>
      </c>
      <c r="F166" s="74" t="e">
        <f>#REF!</f>
        <v>#REF!</v>
      </c>
      <c r="G166" s="75" t="e">
        <f>#REF!</f>
        <v>#REF!</v>
      </c>
      <c r="H166" s="91" t="e">
        <f>#REF!</f>
        <v>#REF!</v>
      </c>
      <c r="I166" s="77" t="str">
        <f>IFERROR(M166*MIN(Table_Measure_Caps[[#Totals],[Estimated Raw Incentive Total]], Table_Measure_Caps[[#Totals],[Gross Measure Cost Total]], Value_Project_CAP)/Table_Measure_Caps[[#Totals],[Estimated Raw Incentive Total]], "")</f>
        <v/>
      </c>
      <c r="J166" s="74" t="e">
        <f>#REF!</f>
        <v>#REF!</v>
      </c>
      <c r="K166" s="78" t="str">
        <f t="shared" si="5"/>
        <v>Version 4.0</v>
      </c>
      <c r="L166" s="79" t="e">
        <f>#REF!</f>
        <v>#REF!</v>
      </c>
      <c r="M166" s="76" t="e">
        <f>#REF!</f>
        <v>#REF!</v>
      </c>
    </row>
    <row r="167" spans="1:13" hidden="1" x14ac:dyDescent="0.2">
      <c r="A167" s="73" t="s">
        <v>150</v>
      </c>
      <c r="B167" s="74">
        <f t="shared" si="7"/>
        <v>0</v>
      </c>
      <c r="C167" s="74">
        <v>5</v>
      </c>
      <c r="D167" s="74" t="e">
        <f>#REF!</f>
        <v>#REF!</v>
      </c>
      <c r="E167" s="74" t="e">
        <f>#REF!</f>
        <v>#REF!</v>
      </c>
      <c r="F167" s="74" t="e">
        <f>#REF!</f>
        <v>#REF!</v>
      </c>
      <c r="G167" s="75" t="e">
        <f>#REF!</f>
        <v>#REF!</v>
      </c>
      <c r="H167" s="91" t="e">
        <f>#REF!</f>
        <v>#REF!</v>
      </c>
      <c r="I167" s="77" t="str">
        <f>IFERROR(M167*MIN(Table_Measure_Caps[[#Totals],[Estimated Raw Incentive Total]], Table_Measure_Caps[[#Totals],[Gross Measure Cost Total]], Value_Project_CAP)/Table_Measure_Caps[[#Totals],[Estimated Raw Incentive Total]], "")</f>
        <v/>
      </c>
      <c r="J167" s="74" t="e">
        <f>#REF!</f>
        <v>#REF!</v>
      </c>
      <c r="K167" s="78" t="str">
        <f t="shared" si="5"/>
        <v>Version 4.0</v>
      </c>
      <c r="L167" s="79" t="e">
        <f>#REF!</f>
        <v>#REF!</v>
      </c>
      <c r="M167" s="76" t="e">
        <f>#REF!</f>
        <v>#REF!</v>
      </c>
    </row>
    <row r="168" spans="1:13" hidden="1" x14ac:dyDescent="0.2">
      <c r="A168" s="73" t="s">
        <v>150</v>
      </c>
      <c r="B168" s="74">
        <f t="shared" si="7"/>
        <v>0</v>
      </c>
      <c r="C168" s="74">
        <v>6</v>
      </c>
      <c r="D168" s="74" t="e">
        <f>#REF!</f>
        <v>#REF!</v>
      </c>
      <c r="E168" s="74" t="e">
        <f>#REF!</f>
        <v>#REF!</v>
      </c>
      <c r="F168" s="74" t="e">
        <f>#REF!</f>
        <v>#REF!</v>
      </c>
      <c r="G168" s="75" t="e">
        <f>#REF!</f>
        <v>#REF!</v>
      </c>
      <c r="H168" s="91" t="e">
        <f>#REF!</f>
        <v>#REF!</v>
      </c>
      <c r="I168" s="77" t="str">
        <f>IFERROR(M168*MIN(Table_Measure_Caps[[#Totals],[Estimated Raw Incentive Total]], Table_Measure_Caps[[#Totals],[Gross Measure Cost Total]], Value_Project_CAP)/Table_Measure_Caps[[#Totals],[Estimated Raw Incentive Total]], "")</f>
        <v/>
      </c>
      <c r="J168" s="74" t="e">
        <f>#REF!</f>
        <v>#REF!</v>
      </c>
      <c r="K168" s="78" t="str">
        <f t="shared" si="5"/>
        <v>Version 4.0</v>
      </c>
      <c r="L168" s="79" t="e">
        <f>#REF!</f>
        <v>#REF!</v>
      </c>
      <c r="M168" s="76" t="e">
        <f>#REF!</f>
        <v>#REF!</v>
      </c>
    </row>
    <row r="169" spans="1:13" hidden="1" x14ac:dyDescent="0.2">
      <c r="A169" s="73" t="s">
        <v>150</v>
      </c>
      <c r="B169" s="74">
        <f t="shared" si="7"/>
        <v>0</v>
      </c>
      <c r="C169" s="74">
        <v>7</v>
      </c>
      <c r="D169" s="74" t="e">
        <f>#REF!</f>
        <v>#REF!</v>
      </c>
      <c r="E169" s="74" t="e">
        <f>#REF!</f>
        <v>#REF!</v>
      </c>
      <c r="F169" s="74" t="e">
        <f>#REF!</f>
        <v>#REF!</v>
      </c>
      <c r="G169" s="75" t="e">
        <f>#REF!</f>
        <v>#REF!</v>
      </c>
      <c r="H169" s="91" t="e">
        <f>#REF!</f>
        <v>#REF!</v>
      </c>
      <c r="I169" s="77" t="str">
        <f>IFERROR(M169*MIN(Table_Measure_Caps[[#Totals],[Estimated Raw Incentive Total]], Table_Measure_Caps[[#Totals],[Gross Measure Cost Total]], Value_Project_CAP)/Table_Measure_Caps[[#Totals],[Estimated Raw Incentive Total]], "")</f>
        <v/>
      </c>
      <c r="J169" s="74" t="e">
        <f>#REF!</f>
        <v>#REF!</v>
      </c>
      <c r="K169" s="78" t="str">
        <f t="shared" si="5"/>
        <v>Version 4.0</v>
      </c>
      <c r="L169" s="79" t="e">
        <f>#REF!</f>
        <v>#REF!</v>
      </c>
      <c r="M169" s="76" t="e">
        <f>#REF!</f>
        <v>#REF!</v>
      </c>
    </row>
    <row r="170" spans="1:13" hidden="1" x14ac:dyDescent="0.2">
      <c r="A170" s="73" t="s">
        <v>150</v>
      </c>
      <c r="B170" s="74">
        <f t="shared" si="7"/>
        <v>0</v>
      </c>
      <c r="C170" s="74">
        <v>8</v>
      </c>
      <c r="D170" s="74" t="e">
        <f>#REF!</f>
        <v>#REF!</v>
      </c>
      <c r="E170" s="74" t="e">
        <f>#REF!</f>
        <v>#REF!</v>
      </c>
      <c r="F170" s="74" t="e">
        <f>#REF!</f>
        <v>#REF!</v>
      </c>
      <c r="G170" s="75" t="e">
        <f>#REF!</f>
        <v>#REF!</v>
      </c>
      <c r="H170" s="91" t="e">
        <f>#REF!</f>
        <v>#REF!</v>
      </c>
      <c r="I170" s="77" t="str">
        <f>IFERROR(M170*MIN(Table_Measure_Caps[[#Totals],[Estimated Raw Incentive Total]], Table_Measure_Caps[[#Totals],[Gross Measure Cost Total]], Value_Project_CAP)/Table_Measure_Caps[[#Totals],[Estimated Raw Incentive Total]], "")</f>
        <v/>
      </c>
      <c r="J170" s="74" t="e">
        <f>#REF!</f>
        <v>#REF!</v>
      </c>
      <c r="K170" s="78" t="str">
        <f t="shared" si="5"/>
        <v>Version 4.0</v>
      </c>
      <c r="L170" s="79" t="e">
        <f>#REF!</f>
        <v>#REF!</v>
      </c>
      <c r="M170" s="76" t="e">
        <f>#REF!</f>
        <v>#REF!</v>
      </c>
    </row>
    <row r="171" spans="1:13" hidden="1" x14ac:dyDescent="0.2">
      <c r="A171" s="73" t="s">
        <v>150</v>
      </c>
      <c r="B171" s="74">
        <f t="shared" si="7"/>
        <v>0</v>
      </c>
      <c r="C171" s="74">
        <v>9</v>
      </c>
      <c r="D171" s="74" t="e">
        <f>#REF!</f>
        <v>#REF!</v>
      </c>
      <c r="E171" s="74" t="e">
        <f>#REF!</f>
        <v>#REF!</v>
      </c>
      <c r="F171" s="74" t="e">
        <f>#REF!</f>
        <v>#REF!</v>
      </c>
      <c r="G171" s="75" t="e">
        <f>#REF!</f>
        <v>#REF!</v>
      </c>
      <c r="H171" s="91" t="e">
        <f>#REF!</f>
        <v>#REF!</v>
      </c>
      <c r="I171" s="77" t="str">
        <f>IFERROR(M171*MIN(Table_Measure_Caps[[#Totals],[Estimated Raw Incentive Total]], Table_Measure_Caps[[#Totals],[Gross Measure Cost Total]], Value_Project_CAP)/Table_Measure_Caps[[#Totals],[Estimated Raw Incentive Total]], "")</f>
        <v/>
      </c>
      <c r="J171" s="74" t="e">
        <f>#REF!</f>
        <v>#REF!</v>
      </c>
      <c r="K171" s="78" t="str">
        <f t="shared" si="5"/>
        <v>Version 4.0</v>
      </c>
      <c r="L171" s="79" t="e">
        <f>#REF!</f>
        <v>#REF!</v>
      </c>
      <c r="M171" s="76" t="e">
        <f>#REF!</f>
        <v>#REF!</v>
      </c>
    </row>
    <row r="172" spans="1:13" hidden="1" x14ac:dyDescent="0.2">
      <c r="A172" s="73" t="s">
        <v>150</v>
      </c>
      <c r="B172" s="74">
        <f t="shared" si="7"/>
        <v>0</v>
      </c>
      <c r="C172" s="74">
        <v>10</v>
      </c>
      <c r="D172" s="74" t="e">
        <f>#REF!</f>
        <v>#REF!</v>
      </c>
      <c r="E172" s="74" t="e">
        <f>#REF!</f>
        <v>#REF!</v>
      </c>
      <c r="F172" s="74" t="e">
        <f>#REF!</f>
        <v>#REF!</v>
      </c>
      <c r="G172" s="75" t="e">
        <f>#REF!</f>
        <v>#REF!</v>
      </c>
      <c r="H172" s="91" t="e">
        <f>#REF!</f>
        <v>#REF!</v>
      </c>
      <c r="I172" s="77" t="str">
        <f>IFERROR(M172*MIN(Table_Measure_Caps[[#Totals],[Estimated Raw Incentive Total]], Table_Measure_Caps[[#Totals],[Gross Measure Cost Total]], Value_Project_CAP)/Table_Measure_Caps[[#Totals],[Estimated Raw Incentive Total]], "")</f>
        <v/>
      </c>
      <c r="J172" s="74" t="e">
        <f>#REF!</f>
        <v>#REF!</v>
      </c>
      <c r="K172" s="78" t="str">
        <f t="shared" si="5"/>
        <v>Version 4.0</v>
      </c>
      <c r="L172" s="79" t="e">
        <f>#REF!</f>
        <v>#REF!</v>
      </c>
      <c r="M172" s="76" t="e">
        <f>#REF!</f>
        <v>#REF!</v>
      </c>
    </row>
    <row r="173" spans="1:13" hidden="1" x14ac:dyDescent="0.2">
      <c r="A173" s="73" t="s">
        <v>150</v>
      </c>
      <c r="B173" s="74">
        <f t="shared" si="7"/>
        <v>0</v>
      </c>
      <c r="C173" s="74">
        <v>11</v>
      </c>
      <c r="D173" s="74" t="e">
        <f>#REF!</f>
        <v>#REF!</v>
      </c>
      <c r="E173" s="74" t="e">
        <f>#REF!</f>
        <v>#REF!</v>
      </c>
      <c r="F173" s="74" t="e">
        <f>#REF!</f>
        <v>#REF!</v>
      </c>
      <c r="G173" s="75" t="e">
        <f>#REF!</f>
        <v>#REF!</v>
      </c>
      <c r="H173" s="91" t="e">
        <f>#REF!</f>
        <v>#REF!</v>
      </c>
      <c r="I173" s="77" t="str">
        <f>IFERROR(M173*MIN(Table_Measure_Caps[[#Totals],[Estimated Raw Incentive Total]], Table_Measure_Caps[[#Totals],[Gross Measure Cost Total]], Value_Project_CAP)/Table_Measure_Caps[[#Totals],[Estimated Raw Incentive Total]], "")</f>
        <v/>
      </c>
      <c r="J173" s="74" t="e">
        <f>#REF!</f>
        <v>#REF!</v>
      </c>
      <c r="K173" s="78" t="str">
        <f t="shared" si="5"/>
        <v>Version 4.0</v>
      </c>
      <c r="L173" s="79" t="e">
        <f>#REF!</f>
        <v>#REF!</v>
      </c>
      <c r="M173" s="76" t="e">
        <f>#REF!</f>
        <v>#REF!</v>
      </c>
    </row>
    <row r="174" spans="1:13" hidden="1" x14ac:dyDescent="0.2">
      <c r="A174" s="73" t="s">
        <v>150</v>
      </c>
      <c r="B174" s="74">
        <f t="shared" si="7"/>
        <v>0</v>
      </c>
      <c r="C174" s="74">
        <v>12</v>
      </c>
      <c r="D174" s="74" t="e">
        <f>#REF!</f>
        <v>#REF!</v>
      </c>
      <c r="E174" s="74" t="e">
        <f>#REF!</f>
        <v>#REF!</v>
      </c>
      <c r="F174" s="74" t="e">
        <f>#REF!</f>
        <v>#REF!</v>
      </c>
      <c r="G174" s="75" t="e">
        <f>#REF!</f>
        <v>#REF!</v>
      </c>
      <c r="H174" s="91" t="e">
        <f>#REF!</f>
        <v>#REF!</v>
      </c>
      <c r="I174" s="77" t="str">
        <f>IFERROR(M174*MIN(Table_Measure_Caps[[#Totals],[Estimated Raw Incentive Total]], Table_Measure_Caps[[#Totals],[Gross Measure Cost Total]], Value_Project_CAP)/Table_Measure_Caps[[#Totals],[Estimated Raw Incentive Total]], "")</f>
        <v/>
      </c>
      <c r="J174" s="74" t="e">
        <f>#REF!</f>
        <v>#REF!</v>
      </c>
      <c r="K174" s="78" t="str">
        <f t="shared" si="5"/>
        <v>Version 4.0</v>
      </c>
      <c r="L174" s="79" t="e">
        <f>#REF!</f>
        <v>#REF!</v>
      </c>
      <c r="M174" s="76" t="e">
        <f>#REF!</f>
        <v>#REF!</v>
      </c>
    </row>
    <row r="175" spans="1:13" hidden="1" x14ac:dyDescent="0.2">
      <c r="A175" s="73" t="s">
        <v>150</v>
      </c>
      <c r="B175" s="74">
        <f t="shared" si="7"/>
        <v>0</v>
      </c>
      <c r="C175" s="74">
        <v>13</v>
      </c>
      <c r="D175" s="74" t="e">
        <f>#REF!</f>
        <v>#REF!</v>
      </c>
      <c r="E175" s="74" t="e">
        <f>#REF!</f>
        <v>#REF!</v>
      </c>
      <c r="F175" s="74" t="e">
        <f>#REF!</f>
        <v>#REF!</v>
      </c>
      <c r="G175" s="75" t="e">
        <f>#REF!</f>
        <v>#REF!</v>
      </c>
      <c r="H175" s="91" t="e">
        <f>#REF!</f>
        <v>#REF!</v>
      </c>
      <c r="I175" s="77" t="str">
        <f>IFERROR(M175*MIN(Table_Measure_Caps[[#Totals],[Estimated Raw Incentive Total]], Table_Measure_Caps[[#Totals],[Gross Measure Cost Total]], Value_Project_CAP)/Table_Measure_Caps[[#Totals],[Estimated Raw Incentive Total]], "")</f>
        <v/>
      </c>
      <c r="J175" s="74" t="e">
        <f>#REF!</f>
        <v>#REF!</v>
      </c>
      <c r="K175" s="78" t="str">
        <f t="shared" si="5"/>
        <v>Version 4.0</v>
      </c>
      <c r="L175" s="79" t="e">
        <f>#REF!</f>
        <v>#REF!</v>
      </c>
      <c r="M175" s="76" t="e">
        <f>#REF!</f>
        <v>#REF!</v>
      </c>
    </row>
    <row r="176" spans="1:13" hidden="1" x14ac:dyDescent="0.2">
      <c r="A176" s="73" t="s">
        <v>150</v>
      </c>
      <c r="B176" s="74">
        <f t="shared" si="7"/>
        <v>0</v>
      </c>
      <c r="C176" s="74">
        <v>14</v>
      </c>
      <c r="D176" s="74" t="e">
        <f>#REF!</f>
        <v>#REF!</v>
      </c>
      <c r="E176" s="74" t="e">
        <f>#REF!</f>
        <v>#REF!</v>
      </c>
      <c r="F176" s="74" t="e">
        <f>#REF!</f>
        <v>#REF!</v>
      </c>
      <c r="G176" s="75" t="e">
        <f>#REF!</f>
        <v>#REF!</v>
      </c>
      <c r="H176" s="91" t="e">
        <f>#REF!</f>
        <v>#REF!</v>
      </c>
      <c r="I176" s="77" t="str">
        <f>IFERROR(M176*MIN(Table_Measure_Caps[[#Totals],[Estimated Raw Incentive Total]], Table_Measure_Caps[[#Totals],[Gross Measure Cost Total]], Value_Project_CAP)/Table_Measure_Caps[[#Totals],[Estimated Raw Incentive Total]], "")</f>
        <v/>
      </c>
      <c r="J176" s="74" t="e">
        <f>#REF!</f>
        <v>#REF!</v>
      </c>
      <c r="K176" s="78" t="str">
        <f t="shared" si="5"/>
        <v>Version 4.0</v>
      </c>
      <c r="L176" s="79" t="e">
        <f>#REF!</f>
        <v>#REF!</v>
      </c>
      <c r="M176" s="76" t="e">
        <f>#REF!</f>
        <v>#REF!</v>
      </c>
    </row>
    <row r="177" spans="1:13" hidden="1" x14ac:dyDescent="0.2">
      <c r="A177" s="73" t="s">
        <v>150</v>
      </c>
      <c r="B177" s="74">
        <f t="shared" si="7"/>
        <v>0</v>
      </c>
      <c r="C177" s="74">
        <v>15</v>
      </c>
      <c r="D177" s="74" t="e">
        <f>#REF!</f>
        <v>#REF!</v>
      </c>
      <c r="E177" s="74" t="e">
        <f>#REF!</f>
        <v>#REF!</v>
      </c>
      <c r="F177" s="74" t="e">
        <f>#REF!</f>
        <v>#REF!</v>
      </c>
      <c r="G177" s="75" t="e">
        <f>#REF!</f>
        <v>#REF!</v>
      </c>
      <c r="H177" s="91" t="e">
        <f>#REF!</f>
        <v>#REF!</v>
      </c>
      <c r="I177" s="77" t="str">
        <f>IFERROR(M177*MIN(Table_Measure_Caps[[#Totals],[Estimated Raw Incentive Total]], Table_Measure_Caps[[#Totals],[Gross Measure Cost Total]], Value_Project_CAP)/Table_Measure_Caps[[#Totals],[Estimated Raw Incentive Total]], "")</f>
        <v/>
      </c>
      <c r="J177" s="74" t="e">
        <f>#REF!</f>
        <v>#REF!</v>
      </c>
      <c r="K177" s="78" t="str">
        <f t="shared" si="5"/>
        <v>Version 4.0</v>
      </c>
      <c r="L177" s="79" t="e">
        <f>#REF!</f>
        <v>#REF!</v>
      </c>
      <c r="M177" s="76" t="e">
        <f>#REF!</f>
        <v>#REF!</v>
      </c>
    </row>
    <row r="178" spans="1:13" hidden="1" x14ac:dyDescent="0.2">
      <c r="A178" s="73" t="s">
        <v>150</v>
      </c>
      <c r="B178" s="74">
        <f t="shared" si="7"/>
        <v>0</v>
      </c>
      <c r="C178" s="74">
        <v>16</v>
      </c>
      <c r="D178" s="74" t="e">
        <f>#REF!</f>
        <v>#REF!</v>
      </c>
      <c r="E178" s="74" t="e">
        <f>#REF!</f>
        <v>#REF!</v>
      </c>
      <c r="F178" s="74" t="e">
        <f>#REF!</f>
        <v>#REF!</v>
      </c>
      <c r="G178" s="75" t="e">
        <f>#REF!</f>
        <v>#REF!</v>
      </c>
      <c r="H178" s="91" t="e">
        <f>#REF!</f>
        <v>#REF!</v>
      </c>
      <c r="I178" s="77" t="str">
        <f>IFERROR(M178*MIN(Table_Measure_Caps[[#Totals],[Estimated Raw Incentive Total]], Table_Measure_Caps[[#Totals],[Gross Measure Cost Total]], Value_Project_CAP)/Table_Measure_Caps[[#Totals],[Estimated Raw Incentive Total]], "")</f>
        <v/>
      </c>
      <c r="J178" s="74" t="e">
        <f>#REF!</f>
        <v>#REF!</v>
      </c>
      <c r="K178" s="78" t="str">
        <f t="shared" si="5"/>
        <v>Version 4.0</v>
      </c>
      <c r="L178" s="79" t="e">
        <f>#REF!</f>
        <v>#REF!</v>
      </c>
      <c r="M178" s="76" t="e">
        <f>#REF!</f>
        <v>#REF!</v>
      </c>
    </row>
    <row r="179" spans="1:13" hidden="1" x14ac:dyDescent="0.2">
      <c r="A179" s="73" t="s">
        <v>150</v>
      </c>
      <c r="B179" s="74">
        <f t="shared" si="7"/>
        <v>0</v>
      </c>
      <c r="C179" s="74">
        <v>17</v>
      </c>
      <c r="D179" s="74" t="e">
        <f>#REF!</f>
        <v>#REF!</v>
      </c>
      <c r="E179" s="74" t="e">
        <f>#REF!</f>
        <v>#REF!</v>
      </c>
      <c r="F179" s="74" t="e">
        <f>#REF!</f>
        <v>#REF!</v>
      </c>
      <c r="G179" s="75" t="e">
        <f>#REF!</f>
        <v>#REF!</v>
      </c>
      <c r="H179" s="91" t="e">
        <f>#REF!</f>
        <v>#REF!</v>
      </c>
      <c r="I179" s="77" t="str">
        <f>IFERROR(M179*MIN(Table_Measure_Caps[[#Totals],[Estimated Raw Incentive Total]], Table_Measure_Caps[[#Totals],[Gross Measure Cost Total]], Value_Project_CAP)/Table_Measure_Caps[[#Totals],[Estimated Raw Incentive Total]], "")</f>
        <v/>
      </c>
      <c r="J179" s="74" t="e">
        <f>#REF!</f>
        <v>#REF!</v>
      </c>
      <c r="K179" s="78" t="str">
        <f t="shared" si="5"/>
        <v>Version 4.0</v>
      </c>
      <c r="L179" s="79" t="e">
        <f>#REF!</f>
        <v>#REF!</v>
      </c>
      <c r="M179" s="76" t="e">
        <f>#REF!</f>
        <v>#REF!</v>
      </c>
    </row>
    <row r="180" spans="1:13" hidden="1" x14ac:dyDescent="0.2">
      <c r="A180" s="73" t="s">
        <v>150</v>
      </c>
      <c r="B180" s="74">
        <f t="shared" si="7"/>
        <v>0</v>
      </c>
      <c r="C180" s="74">
        <v>18</v>
      </c>
      <c r="D180" s="74" t="e">
        <f>#REF!</f>
        <v>#REF!</v>
      </c>
      <c r="E180" s="74" t="e">
        <f>#REF!</f>
        <v>#REF!</v>
      </c>
      <c r="F180" s="74" t="e">
        <f>#REF!</f>
        <v>#REF!</v>
      </c>
      <c r="G180" s="75" t="e">
        <f>#REF!</f>
        <v>#REF!</v>
      </c>
      <c r="H180" s="91" t="e">
        <f>#REF!</f>
        <v>#REF!</v>
      </c>
      <c r="I180" s="77" t="str">
        <f>IFERROR(M180*MIN(Table_Measure_Caps[[#Totals],[Estimated Raw Incentive Total]], Table_Measure_Caps[[#Totals],[Gross Measure Cost Total]], Value_Project_CAP)/Table_Measure_Caps[[#Totals],[Estimated Raw Incentive Total]], "")</f>
        <v/>
      </c>
      <c r="J180" s="74" t="e">
        <f>#REF!</f>
        <v>#REF!</v>
      </c>
      <c r="K180" s="78" t="str">
        <f t="shared" si="5"/>
        <v>Version 4.0</v>
      </c>
      <c r="L180" s="79" t="e">
        <f>#REF!</f>
        <v>#REF!</v>
      </c>
      <c r="M180" s="76" t="e">
        <f>#REF!</f>
        <v>#REF!</v>
      </c>
    </row>
    <row r="181" spans="1:13" hidden="1" x14ac:dyDescent="0.2">
      <c r="A181" s="73" t="s">
        <v>150</v>
      </c>
      <c r="B181" s="74">
        <f t="shared" si="7"/>
        <v>0</v>
      </c>
      <c r="C181" s="74">
        <v>19</v>
      </c>
      <c r="D181" s="74" t="e">
        <f>#REF!</f>
        <v>#REF!</v>
      </c>
      <c r="E181" s="74" t="e">
        <f>#REF!</f>
        <v>#REF!</v>
      </c>
      <c r="F181" s="74" t="e">
        <f>#REF!</f>
        <v>#REF!</v>
      </c>
      <c r="G181" s="75" t="e">
        <f>#REF!</f>
        <v>#REF!</v>
      </c>
      <c r="H181" s="91" t="e">
        <f>#REF!</f>
        <v>#REF!</v>
      </c>
      <c r="I181" s="77" t="str">
        <f>IFERROR(M181*MIN(Table_Measure_Caps[[#Totals],[Estimated Raw Incentive Total]], Table_Measure_Caps[[#Totals],[Gross Measure Cost Total]], Value_Project_CAP)/Table_Measure_Caps[[#Totals],[Estimated Raw Incentive Total]], "")</f>
        <v/>
      </c>
      <c r="J181" s="74" t="e">
        <f>#REF!</f>
        <v>#REF!</v>
      </c>
      <c r="K181" s="78" t="str">
        <f t="shared" si="5"/>
        <v>Version 4.0</v>
      </c>
      <c r="L181" s="79" t="e">
        <f>#REF!</f>
        <v>#REF!</v>
      </c>
      <c r="M181" s="76" t="e">
        <f>#REF!</f>
        <v>#REF!</v>
      </c>
    </row>
    <row r="182" spans="1:13" hidden="1" x14ac:dyDescent="0.2">
      <c r="A182" s="73" t="s">
        <v>150</v>
      </c>
      <c r="B182" s="74">
        <f t="shared" si="7"/>
        <v>0</v>
      </c>
      <c r="C182" s="74">
        <v>20</v>
      </c>
      <c r="D182" s="74" t="e">
        <f>#REF!</f>
        <v>#REF!</v>
      </c>
      <c r="E182" s="74" t="e">
        <f>#REF!</f>
        <v>#REF!</v>
      </c>
      <c r="F182" s="74" t="e">
        <f>#REF!</f>
        <v>#REF!</v>
      </c>
      <c r="G182" s="75" t="e">
        <f>#REF!</f>
        <v>#REF!</v>
      </c>
      <c r="H182" s="91" t="e">
        <f>#REF!</f>
        <v>#REF!</v>
      </c>
      <c r="I182" s="77" t="str">
        <f>IFERROR(M182*MIN(Table_Measure_Caps[[#Totals],[Estimated Raw Incentive Total]], Table_Measure_Caps[[#Totals],[Gross Measure Cost Total]], Value_Project_CAP)/Table_Measure_Caps[[#Totals],[Estimated Raw Incentive Total]], "")</f>
        <v/>
      </c>
      <c r="J182" s="74" t="e">
        <f>#REF!</f>
        <v>#REF!</v>
      </c>
      <c r="K182" s="78" t="str">
        <f t="shared" si="5"/>
        <v>Version 4.0</v>
      </c>
      <c r="L182" s="79" t="e">
        <f>#REF!</f>
        <v>#REF!</v>
      </c>
      <c r="M182" s="76" t="e">
        <f>#REF!</f>
        <v>#REF!</v>
      </c>
    </row>
    <row r="183" spans="1:13" hidden="1" x14ac:dyDescent="0.2">
      <c r="A183" s="73" t="s">
        <v>150</v>
      </c>
      <c r="B183" s="74">
        <f t="shared" si="7"/>
        <v>0</v>
      </c>
      <c r="C183" s="74">
        <v>21</v>
      </c>
      <c r="D183" s="74" t="e">
        <f>#REF!</f>
        <v>#REF!</v>
      </c>
      <c r="E183" s="74" t="e">
        <f>#REF!</f>
        <v>#REF!</v>
      </c>
      <c r="F183" s="74" t="e">
        <f>#REF!</f>
        <v>#REF!</v>
      </c>
      <c r="G183" s="75" t="e">
        <f>#REF!</f>
        <v>#REF!</v>
      </c>
      <c r="H183" s="91" t="e">
        <f>#REF!</f>
        <v>#REF!</v>
      </c>
      <c r="I183" s="77" t="str">
        <f>IFERROR(M183*MIN(Table_Measure_Caps[[#Totals],[Estimated Raw Incentive Total]], Table_Measure_Caps[[#Totals],[Gross Measure Cost Total]], Value_Project_CAP)/Table_Measure_Caps[[#Totals],[Estimated Raw Incentive Total]], "")</f>
        <v/>
      </c>
      <c r="J183" s="74" t="e">
        <f>#REF!</f>
        <v>#REF!</v>
      </c>
      <c r="K183" s="78" t="str">
        <f t="shared" si="5"/>
        <v>Version 4.0</v>
      </c>
      <c r="L183" s="79" t="e">
        <f>#REF!</f>
        <v>#REF!</v>
      </c>
      <c r="M183" s="76" t="e">
        <f>#REF!</f>
        <v>#REF!</v>
      </c>
    </row>
    <row r="184" spans="1:13" hidden="1" x14ac:dyDescent="0.2">
      <c r="A184" s="73" t="s">
        <v>150</v>
      </c>
      <c r="B184" s="74">
        <f t="shared" si="7"/>
        <v>0</v>
      </c>
      <c r="C184" s="74">
        <v>22</v>
      </c>
      <c r="D184" s="74" t="e">
        <f>#REF!</f>
        <v>#REF!</v>
      </c>
      <c r="E184" s="74" t="e">
        <f>#REF!</f>
        <v>#REF!</v>
      </c>
      <c r="F184" s="74" t="e">
        <f>#REF!</f>
        <v>#REF!</v>
      </c>
      <c r="G184" s="75" t="e">
        <f>#REF!</f>
        <v>#REF!</v>
      </c>
      <c r="H184" s="91" t="e">
        <f>#REF!</f>
        <v>#REF!</v>
      </c>
      <c r="I184" s="77" t="str">
        <f>IFERROR(M184*MIN(Table_Measure_Caps[[#Totals],[Estimated Raw Incentive Total]], Table_Measure_Caps[[#Totals],[Gross Measure Cost Total]], Value_Project_CAP)/Table_Measure_Caps[[#Totals],[Estimated Raw Incentive Total]], "")</f>
        <v/>
      </c>
      <c r="J184" s="74" t="e">
        <f>#REF!</f>
        <v>#REF!</v>
      </c>
      <c r="K184" s="78" t="str">
        <f t="shared" si="5"/>
        <v>Version 4.0</v>
      </c>
      <c r="L184" s="79" t="e">
        <f>#REF!</f>
        <v>#REF!</v>
      </c>
      <c r="M184" s="76" t="e">
        <f>#REF!</f>
        <v>#REF!</v>
      </c>
    </row>
    <row r="185" spans="1:13" hidden="1" x14ac:dyDescent="0.2">
      <c r="A185" s="73" t="s">
        <v>150</v>
      </c>
      <c r="B185" s="74">
        <f t="shared" si="7"/>
        <v>0</v>
      </c>
      <c r="C185" s="74">
        <v>23</v>
      </c>
      <c r="D185" s="74" t="e">
        <f>#REF!</f>
        <v>#REF!</v>
      </c>
      <c r="E185" s="74" t="e">
        <f>#REF!</f>
        <v>#REF!</v>
      </c>
      <c r="F185" s="74" t="e">
        <f>#REF!</f>
        <v>#REF!</v>
      </c>
      <c r="G185" s="75" t="e">
        <f>#REF!</f>
        <v>#REF!</v>
      </c>
      <c r="H185" s="91" t="e">
        <f>#REF!</f>
        <v>#REF!</v>
      </c>
      <c r="I185" s="77" t="str">
        <f>IFERROR(M185*MIN(Table_Measure_Caps[[#Totals],[Estimated Raw Incentive Total]], Table_Measure_Caps[[#Totals],[Gross Measure Cost Total]], Value_Project_CAP)/Table_Measure_Caps[[#Totals],[Estimated Raw Incentive Total]], "")</f>
        <v/>
      </c>
      <c r="J185" s="74" t="e">
        <f>#REF!</f>
        <v>#REF!</v>
      </c>
      <c r="K185" s="78" t="str">
        <f t="shared" si="5"/>
        <v>Version 4.0</v>
      </c>
      <c r="L185" s="79" t="e">
        <f>#REF!</f>
        <v>#REF!</v>
      </c>
      <c r="M185" s="76" t="e">
        <f>#REF!</f>
        <v>#REF!</v>
      </c>
    </row>
    <row r="186" spans="1:13" hidden="1" x14ac:dyDescent="0.2">
      <c r="A186" s="73" t="s">
        <v>150</v>
      </c>
      <c r="B186" s="74">
        <f t="shared" si="7"/>
        <v>0</v>
      </c>
      <c r="C186" s="74">
        <v>24</v>
      </c>
      <c r="D186" s="74" t="e">
        <f>#REF!</f>
        <v>#REF!</v>
      </c>
      <c r="E186" s="74" t="e">
        <f>#REF!</f>
        <v>#REF!</v>
      </c>
      <c r="F186" s="74" t="e">
        <f>#REF!</f>
        <v>#REF!</v>
      </c>
      <c r="G186" s="75" t="e">
        <f>#REF!</f>
        <v>#REF!</v>
      </c>
      <c r="H186" s="91" t="e">
        <f>#REF!</f>
        <v>#REF!</v>
      </c>
      <c r="I186" s="77" t="str">
        <f>IFERROR(M186*MIN(Table_Measure_Caps[[#Totals],[Estimated Raw Incentive Total]], Table_Measure_Caps[[#Totals],[Gross Measure Cost Total]], Value_Project_CAP)/Table_Measure_Caps[[#Totals],[Estimated Raw Incentive Total]], "")</f>
        <v/>
      </c>
      <c r="J186" s="74" t="e">
        <f>#REF!</f>
        <v>#REF!</v>
      </c>
      <c r="K186" s="78" t="str">
        <f t="shared" si="5"/>
        <v>Version 4.0</v>
      </c>
      <c r="L186" s="79" t="e">
        <f>#REF!</f>
        <v>#REF!</v>
      </c>
      <c r="M186" s="76" t="e">
        <f>#REF!</f>
        <v>#REF!</v>
      </c>
    </row>
    <row r="187" spans="1:13" hidden="1" x14ac:dyDescent="0.2">
      <c r="A187" s="73" t="s">
        <v>150</v>
      </c>
      <c r="B187" s="74">
        <f t="shared" si="7"/>
        <v>0</v>
      </c>
      <c r="C187" s="74">
        <v>25</v>
      </c>
      <c r="D187" s="74" t="e">
        <f>#REF!</f>
        <v>#REF!</v>
      </c>
      <c r="E187" s="74" t="e">
        <f>#REF!</f>
        <v>#REF!</v>
      </c>
      <c r="F187" s="74" t="e">
        <f>#REF!</f>
        <v>#REF!</v>
      </c>
      <c r="G187" s="75" t="e">
        <f>#REF!</f>
        <v>#REF!</v>
      </c>
      <c r="H187" s="91" t="e">
        <f>#REF!</f>
        <v>#REF!</v>
      </c>
      <c r="I187" s="77" t="str">
        <f>IFERROR(M187*MIN(Table_Measure_Caps[[#Totals],[Estimated Raw Incentive Total]], Table_Measure_Caps[[#Totals],[Gross Measure Cost Total]], Value_Project_CAP)/Table_Measure_Caps[[#Totals],[Estimated Raw Incentive Total]], "")</f>
        <v/>
      </c>
      <c r="J187" s="74" t="e">
        <f>#REF!</f>
        <v>#REF!</v>
      </c>
      <c r="K187" s="78" t="str">
        <f t="shared" si="5"/>
        <v>Version 4.0</v>
      </c>
      <c r="L187" s="79" t="e">
        <f>#REF!</f>
        <v>#REF!</v>
      </c>
      <c r="M187" s="76" t="e">
        <f>#REF!</f>
        <v>#REF!</v>
      </c>
    </row>
    <row r="188" spans="1:13" hidden="1" x14ac:dyDescent="0.2">
      <c r="A188" s="73" t="s">
        <v>150</v>
      </c>
      <c r="B188" s="74">
        <f t="shared" si="7"/>
        <v>0</v>
      </c>
      <c r="C188" s="74">
        <v>26</v>
      </c>
      <c r="D188" s="74" t="e">
        <f>#REF!</f>
        <v>#REF!</v>
      </c>
      <c r="E188" s="74" t="e">
        <f>#REF!</f>
        <v>#REF!</v>
      </c>
      <c r="F188" s="74" t="e">
        <f>#REF!</f>
        <v>#REF!</v>
      </c>
      <c r="G188" s="75" t="e">
        <f>#REF!</f>
        <v>#REF!</v>
      </c>
      <c r="H188" s="91" t="e">
        <f>#REF!</f>
        <v>#REF!</v>
      </c>
      <c r="I188" s="77" t="str">
        <f>IFERROR(M188*MIN(Table_Measure_Caps[[#Totals],[Estimated Raw Incentive Total]], Table_Measure_Caps[[#Totals],[Gross Measure Cost Total]], Value_Project_CAP)/Table_Measure_Caps[[#Totals],[Estimated Raw Incentive Total]], "")</f>
        <v/>
      </c>
      <c r="J188" s="74" t="e">
        <f>#REF!</f>
        <v>#REF!</v>
      </c>
      <c r="K188" s="78" t="str">
        <f t="shared" si="5"/>
        <v>Version 4.0</v>
      </c>
      <c r="L188" s="79" t="e">
        <f>#REF!</f>
        <v>#REF!</v>
      </c>
      <c r="M188" s="76" t="e">
        <f>#REF!</f>
        <v>#REF!</v>
      </c>
    </row>
    <row r="189" spans="1:13" hidden="1" x14ac:dyDescent="0.2">
      <c r="A189" s="73" t="s">
        <v>150</v>
      </c>
      <c r="B189" s="74">
        <f t="shared" si="7"/>
        <v>0</v>
      </c>
      <c r="C189" s="74">
        <v>27</v>
      </c>
      <c r="D189" s="74" t="e">
        <f>#REF!</f>
        <v>#REF!</v>
      </c>
      <c r="E189" s="74" t="e">
        <f>#REF!</f>
        <v>#REF!</v>
      </c>
      <c r="F189" s="74" t="e">
        <f>#REF!</f>
        <v>#REF!</v>
      </c>
      <c r="G189" s="75" t="e">
        <f>#REF!</f>
        <v>#REF!</v>
      </c>
      <c r="H189" s="91" t="e">
        <f>#REF!</f>
        <v>#REF!</v>
      </c>
      <c r="I189" s="77" t="str">
        <f>IFERROR(M189*MIN(Table_Measure_Caps[[#Totals],[Estimated Raw Incentive Total]], Table_Measure_Caps[[#Totals],[Gross Measure Cost Total]], Value_Project_CAP)/Table_Measure_Caps[[#Totals],[Estimated Raw Incentive Total]], "")</f>
        <v/>
      </c>
      <c r="J189" s="74" t="e">
        <f>#REF!</f>
        <v>#REF!</v>
      </c>
      <c r="K189" s="78" t="str">
        <f t="shared" si="5"/>
        <v>Version 4.0</v>
      </c>
      <c r="L189" s="79" t="e">
        <f>#REF!</f>
        <v>#REF!</v>
      </c>
      <c r="M189" s="76" t="e">
        <f>#REF!</f>
        <v>#REF!</v>
      </c>
    </row>
    <row r="190" spans="1:13" hidden="1" x14ac:dyDescent="0.2">
      <c r="A190" s="73" t="s">
        <v>150</v>
      </c>
      <c r="B190" s="74">
        <f t="shared" si="7"/>
        <v>0</v>
      </c>
      <c r="C190" s="74">
        <v>28</v>
      </c>
      <c r="D190" s="74" t="e">
        <f>#REF!</f>
        <v>#REF!</v>
      </c>
      <c r="E190" s="74" t="e">
        <f>#REF!</f>
        <v>#REF!</v>
      </c>
      <c r="F190" s="74" t="e">
        <f>#REF!</f>
        <v>#REF!</v>
      </c>
      <c r="G190" s="75" t="e">
        <f>#REF!</f>
        <v>#REF!</v>
      </c>
      <c r="H190" s="91" t="e">
        <f>#REF!</f>
        <v>#REF!</v>
      </c>
      <c r="I190" s="77" t="str">
        <f>IFERROR(M190*MIN(Table_Measure_Caps[[#Totals],[Estimated Raw Incentive Total]], Table_Measure_Caps[[#Totals],[Gross Measure Cost Total]], Value_Project_CAP)/Table_Measure_Caps[[#Totals],[Estimated Raw Incentive Total]], "")</f>
        <v/>
      </c>
      <c r="J190" s="74" t="e">
        <f>#REF!</f>
        <v>#REF!</v>
      </c>
      <c r="K190" s="78" t="str">
        <f t="shared" si="5"/>
        <v>Version 4.0</v>
      </c>
      <c r="L190" s="79" t="e">
        <f>#REF!</f>
        <v>#REF!</v>
      </c>
      <c r="M190" s="76" t="e">
        <f>#REF!</f>
        <v>#REF!</v>
      </c>
    </row>
    <row r="191" spans="1:13" hidden="1" x14ac:dyDescent="0.2">
      <c r="A191" s="73" t="s">
        <v>150</v>
      </c>
      <c r="B191" s="74">
        <f t="shared" si="7"/>
        <v>0</v>
      </c>
      <c r="C191" s="74">
        <v>29</v>
      </c>
      <c r="D191" s="74" t="e">
        <f>#REF!</f>
        <v>#REF!</v>
      </c>
      <c r="E191" s="74" t="e">
        <f>#REF!</f>
        <v>#REF!</v>
      </c>
      <c r="F191" s="74" t="e">
        <f>#REF!</f>
        <v>#REF!</v>
      </c>
      <c r="G191" s="75" t="e">
        <f>#REF!</f>
        <v>#REF!</v>
      </c>
      <c r="H191" s="91" t="e">
        <f>#REF!</f>
        <v>#REF!</v>
      </c>
      <c r="I191" s="77" t="str">
        <f>IFERROR(M191*MIN(Table_Measure_Caps[[#Totals],[Estimated Raw Incentive Total]], Table_Measure_Caps[[#Totals],[Gross Measure Cost Total]], Value_Project_CAP)/Table_Measure_Caps[[#Totals],[Estimated Raw Incentive Total]], "")</f>
        <v/>
      </c>
      <c r="J191" s="74" t="e">
        <f>#REF!</f>
        <v>#REF!</v>
      </c>
      <c r="K191" s="78" t="str">
        <f t="shared" si="5"/>
        <v>Version 4.0</v>
      </c>
      <c r="L191" s="79" t="e">
        <f>#REF!</f>
        <v>#REF!</v>
      </c>
      <c r="M191" s="76" t="e">
        <f>#REF!</f>
        <v>#REF!</v>
      </c>
    </row>
    <row r="192" spans="1:13" hidden="1" x14ac:dyDescent="0.2">
      <c r="A192" s="73" t="s">
        <v>150</v>
      </c>
      <c r="B192" s="74">
        <f t="shared" si="7"/>
        <v>0</v>
      </c>
      <c r="C192" s="74">
        <v>30</v>
      </c>
      <c r="D192" s="74" t="e">
        <f>#REF!</f>
        <v>#REF!</v>
      </c>
      <c r="E192" s="74" t="e">
        <f>#REF!</f>
        <v>#REF!</v>
      </c>
      <c r="F192" s="74" t="e">
        <f>#REF!</f>
        <v>#REF!</v>
      </c>
      <c r="G192" s="75" t="e">
        <f>#REF!</f>
        <v>#REF!</v>
      </c>
      <c r="H192" s="91" t="e">
        <f>#REF!</f>
        <v>#REF!</v>
      </c>
      <c r="I192" s="77" t="str">
        <f>IFERROR(M192*MIN(Table_Measure_Caps[[#Totals],[Estimated Raw Incentive Total]], Table_Measure_Caps[[#Totals],[Gross Measure Cost Total]], Value_Project_CAP)/Table_Measure_Caps[[#Totals],[Estimated Raw Incentive Total]], "")</f>
        <v/>
      </c>
      <c r="J192" s="74" t="e">
        <f>#REF!</f>
        <v>#REF!</v>
      </c>
      <c r="K192" s="78" t="str">
        <f t="shared" si="5"/>
        <v>Version 4.0</v>
      </c>
      <c r="L192" s="79" t="e">
        <f>#REF!</f>
        <v>#REF!</v>
      </c>
      <c r="M192" s="76" t="e">
        <f>#REF!</f>
        <v>#REF!</v>
      </c>
    </row>
    <row r="193" spans="1:13" hidden="1" x14ac:dyDescent="0.2">
      <c r="A193" s="80" t="s">
        <v>151</v>
      </c>
      <c r="B193" s="81">
        <f t="shared" si="7"/>
        <v>0</v>
      </c>
      <c r="C193" s="81">
        <v>1</v>
      </c>
      <c r="D193" s="81" t="e">
        <f>#REF!</f>
        <v>#REF!</v>
      </c>
      <c r="E193" s="81"/>
      <c r="F193" s="81"/>
      <c r="G193" s="82" t="e">
        <f>#REF!</f>
        <v>#REF!</v>
      </c>
      <c r="H193" s="92" t="e">
        <f>#REF!</f>
        <v>#REF!</v>
      </c>
      <c r="I193" s="84" t="str">
        <f>IFERROR(M193*MIN(Table_Measure_Caps[[#Totals],[Estimated Raw Incentive Total]], Table_Measure_Caps[[#Totals],[Gross Measure Cost Total]], Value_Project_CAP)/Table_Measure_Caps[[#Totals],[Estimated Raw Incentive Total]], "")</f>
        <v/>
      </c>
      <c r="J193" s="81" t="e">
        <f>#REF!</f>
        <v>#REF!</v>
      </c>
      <c r="K193" s="85" t="str">
        <f t="shared" si="5"/>
        <v>Version 4.0</v>
      </c>
      <c r="L193" s="86" t="e">
        <f>#REF!</f>
        <v>#REF!</v>
      </c>
      <c r="M193" s="83" t="e">
        <f>#REF!</f>
        <v>#REF!</v>
      </c>
    </row>
    <row r="194" spans="1:13" hidden="1" x14ac:dyDescent="0.2">
      <c r="A194" s="80" t="s">
        <v>151</v>
      </c>
      <c r="B194" s="81">
        <f t="shared" si="7"/>
        <v>0</v>
      </c>
      <c r="C194" s="81">
        <v>2</v>
      </c>
      <c r="D194" s="81" t="e">
        <f>#REF!</f>
        <v>#REF!</v>
      </c>
      <c r="E194" s="81"/>
      <c r="F194" s="81"/>
      <c r="G194" s="82" t="e">
        <f>#REF!</f>
        <v>#REF!</v>
      </c>
      <c r="H194" s="92" t="e">
        <f>#REF!</f>
        <v>#REF!</v>
      </c>
      <c r="I194" s="84" t="str">
        <f>IFERROR(M194*MIN(Table_Measure_Caps[[#Totals],[Estimated Raw Incentive Total]], Table_Measure_Caps[[#Totals],[Gross Measure Cost Total]], Value_Project_CAP)/Table_Measure_Caps[[#Totals],[Estimated Raw Incentive Total]], "")</f>
        <v/>
      </c>
      <c r="J194" s="81" t="e">
        <f>#REF!</f>
        <v>#REF!</v>
      </c>
      <c r="K194" s="85" t="str">
        <f t="shared" ref="K194:K212" si="8">Value_Application_Version</f>
        <v>Version 4.0</v>
      </c>
      <c r="L194" s="86" t="e">
        <f>#REF!</f>
        <v>#REF!</v>
      </c>
      <c r="M194" s="83" t="e">
        <f>#REF!</f>
        <v>#REF!</v>
      </c>
    </row>
    <row r="195" spans="1:13" hidden="1" x14ac:dyDescent="0.2">
      <c r="A195" s="80" t="s">
        <v>151</v>
      </c>
      <c r="B195" s="81">
        <f t="shared" si="7"/>
        <v>0</v>
      </c>
      <c r="C195" s="81">
        <v>3</v>
      </c>
      <c r="D195" s="81" t="e">
        <f>#REF!</f>
        <v>#REF!</v>
      </c>
      <c r="E195" s="81"/>
      <c r="F195" s="81"/>
      <c r="G195" s="82" t="e">
        <f>#REF!</f>
        <v>#REF!</v>
      </c>
      <c r="H195" s="92" t="e">
        <f>#REF!</f>
        <v>#REF!</v>
      </c>
      <c r="I195" s="84" t="str">
        <f>IFERROR(M195*MIN(Table_Measure_Caps[[#Totals],[Estimated Raw Incentive Total]], Table_Measure_Caps[[#Totals],[Gross Measure Cost Total]], Value_Project_CAP)/Table_Measure_Caps[[#Totals],[Estimated Raw Incentive Total]], "")</f>
        <v/>
      </c>
      <c r="J195" s="81" t="e">
        <f>#REF!</f>
        <v>#REF!</v>
      </c>
      <c r="K195" s="85" t="str">
        <f t="shared" si="8"/>
        <v>Version 4.0</v>
      </c>
      <c r="L195" s="86" t="e">
        <f>#REF!</f>
        <v>#REF!</v>
      </c>
      <c r="M195" s="83" t="e">
        <f>#REF!</f>
        <v>#REF!</v>
      </c>
    </row>
    <row r="196" spans="1:13" hidden="1" x14ac:dyDescent="0.2">
      <c r="A196" s="80" t="s">
        <v>151</v>
      </c>
      <c r="B196" s="81">
        <f t="shared" si="7"/>
        <v>0</v>
      </c>
      <c r="C196" s="81">
        <v>4</v>
      </c>
      <c r="D196" s="81" t="e">
        <f>#REF!</f>
        <v>#REF!</v>
      </c>
      <c r="E196" s="81"/>
      <c r="F196" s="81"/>
      <c r="G196" s="82" t="e">
        <f>#REF!</f>
        <v>#REF!</v>
      </c>
      <c r="H196" s="92" t="e">
        <f>#REF!</f>
        <v>#REF!</v>
      </c>
      <c r="I196" s="84" t="str">
        <f>IFERROR(M196*MIN(Table_Measure_Caps[[#Totals],[Estimated Raw Incentive Total]], Table_Measure_Caps[[#Totals],[Gross Measure Cost Total]], Value_Project_CAP)/Table_Measure_Caps[[#Totals],[Estimated Raw Incentive Total]], "")</f>
        <v/>
      </c>
      <c r="J196" s="81" t="e">
        <f>#REF!</f>
        <v>#REF!</v>
      </c>
      <c r="K196" s="85" t="str">
        <f t="shared" si="8"/>
        <v>Version 4.0</v>
      </c>
      <c r="L196" s="86" t="e">
        <f>#REF!</f>
        <v>#REF!</v>
      </c>
      <c r="M196" s="83" t="e">
        <f>#REF!</f>
        <v>#REF!</v>
      </c>
    </row>
    <row r="197" spans="1:13" hidden="1" x14ac:dyDescent="0.2">
      <c r="A197" s="80" t="s">
        <v>151</v>
      </c>
      <c r="B197" s="81">
        <f t="shared" ref="B197:B212" si="9">Input_ProjectNumber</f>
        <v>0</v>
      </c>
      <c r="C197" s="81">
        <v>5</v>
      </c>
      <c r="D197" s="81" t="e">
        <f>#REF!</f>
        <v>#REF!</v>
      </c>
      <c r="E197" s="81"/>
      <c r="F197" s="81"/>
      <c r="G197" s="82" t="e">
        <f>#REF!</f>
        <v>#REF!</v>
      </c>
      <c r="H197" s="92" t="e">
        <f>#REF!</f>
        <v>#REF!</v>
      </c>
      <c r="I197" s="84" t="str">
        <f>IFERROR(M197*MIN(Table_Measure_Caps[[#Totals],[Estimated Raw Incentive Total]], Table_Measure_Caps[[#Totals],[Gross Measure Cost Total]], Value_Project_CAP)/Table_Measure_Caps[[#Totals],[Estimated Raw Incentive Total]], "")</f>
        <v/>
      </c>
      <c r="J197" s="81" t="e">
        <f>#REF!</f>
        <v>#REF!</v>
      </c>
      <c r="K197" s="85" t="str">
        <f t="shared" si="8"/>
        <v>Version 4.0</v>
      </c>
      <c r="L197" s="86" t="e">
        <f>#REF!</f>
        <v>#REF!</v>
      </c>
      <c r="M197" s="83" t="e">
        <f>#REF!</f>
        <v>#REF!</v>
      </c>
    </row>
    <row r="198" spans="1:13" hidden="1" x14ac:dyDescent="0.2">
      <c r="A198" s="80" t="s">
        <v>151</v>
      </c>
      <c r="B198" s="81">
        <f t="shared" si="9"/>
        <v>0</v>
      </c>
      <c r="C198" s="81">
        <v>6</v>
      </c>
      <c r="D198" s="81" t="e">
        <f>#REF!</f>
        <v>#REF!</v>
      </c>
      <c r="E198" s="81"/>
      <c r="F198" s="81"/>
      <c r="G198" s="82" t="e">
        <f>#REF!</f>
        <v>#REF!</v>
      </c>
      <c r="H198" s="92" t="e">
        <f>#REF!</f>
        <v>#REF!</v>
      </c>
      <c r="I198" s="84" t="str">
        <f>IFERROR(M198*MIN(Table_Measure_Caps[[#Totals],[Estimated Raw Incentive Total]], Table_Measure_Caps[[#Totals],[Gross Measure Cost Total]], Value_Project_CAP)/Table_Measure_Caps[[#Totals],[Estimated Raw Incentive Total]], "")</f>
        <v/>
      </c>
      <c r="J198" s="81" t="e">
        <f>#REF!</f>
        <v>#REF!</v>
      </c>
      <c r="K198" s="85" t="str">
        <f t="shared" si="8"/>
        <v>Version 4.0</v>
      </c>
      <c r="L198" s="86" t="e">
        <f>#REF!</f>
        <v>#REF!</v>
      </c>
      <c r="M198" s="83" t="e">
        <f>#REF!</f>
        <v>#REF!</v>
      </c>
    </row>
    <row r="199" spans="1:13" hidden="1" x14ac:dyDescent="0.2">
      <c r="A199" s="80" t="s">
        <v>151</v>
      </c>
      <c r="B199" s="81">
        <f t="shared" si="9"/>
        <v>0</v>
      </c>
      <c r="C199" s="81">
        <v>7</v>
      </c>
      <c r="D199" s="81" t="e">
        <f>#REF!</f>
        <v>#REF!</v>
      </c>
      <c r="E199" s="81"/>
      <c r="F199" s="81"/>
      <c r="G199" s="82" t="e">
        <f>#REF!</f>
        <v>#REF!</v>
      </c>
      <c r="H199" s="92" t="e">
        <f>#REF!</f>
        <v>#REF!</v>
      </c>
      <c r="I199" s="84" t="str">
        <f>IFERROR(M199*MIN(Table_Measure_Caps[[#Totals],[Estimated Raw Incentive Total]], Table_Measure_Caps[[#Totals],[Gross Measure Cost Total]], Value_Project_CAP)/Table_Measure_Caps[[#Totals],[Estimated Raw Incentive Total]], "")</f>
        <v/>
      </c>
      <c r="J199" s="81" t="e">
        <f>#REF!</f>
        <v>#REF!</v>
      </c>
      <c r="K199" s="85" t="str">
        <f t="shared" si="8"/>
        <v>Version 4.0</v>
      </c>
      <c r="L199" s="86" t="e">
        <f>#REF!</f>
        <v>#REF!</v>
      </c>
      <c r="M199" s="83" t="e">
        <f>#REF!</f>
        <v>#REF!</v>
      </c>
    </row>
    <row r="200" spans="1:13" hidden="1" x14ac:dyDescent="0.2">
      <c r="A200" s="80" t="s">
        <v>151</v>
      </c>
      <c r="B200" s="81">
        <f t="shared" si="9"/>
        <v>0</v>
      </c>
      <c r="C200" s="81">
        <v>8</v>
      </c>
      <c r="D200" s="81" t="e">
        <f>#REF!</f>
        <v>#REF!</v>
      </c>
      <c r="E200" s="81"/>
      <c r="F200" s="81"/>
      <c r="G200" s="82" t="e">
        <f>#REF!</f>
        <v>#REF!</v>
      </c>
      <c r="H200" s="92" t="e">
        <f>#REF!</f>
        <v>#REF!</v>
      </c>
      <c r="I200" s="84" t="str">
        <f>IFERROR(M200*MIN(Table_Measure_Caps[[#Totals],[Estimated Raw Incentive Total]], Table_Measure_Caps[[#Totals],[Gross Measure Cost Total]], Value_Project_CAP)/Table_Measure_Caps[[#Totals],[Estimated Raw Incentive Total]], "")</f>
        <v/>
      </c>
      <c r="J200" s="81" t="e">
        <f>#REF!</f>
        <v>#REF!</v>
      </c>
      <c r="K200" s="85" t="str">
        <f t="shared" si="8"/>
        <v>Version 4.0</v>
      </c>
      <c r="L200" s="86" t="e">
        <f>#REF!</f>
        <v>#REF!</v>
      </c>
      <c r="M200" s="83" t="e">
        <f>#REF!</f>
        <v>#REF!</v>
      </c>
    </row>
    <row r="201" spans="1:13" hidden="1" x14ac:dyDescent="0.2">
      <c r="A201" s="80" t="s">
        <v>151</v>
      </c>
      <c r="B201" s="81">
        <f t="shared" si="9"/>
        <v>0</v>
      </c>
      <c r="C201" s="81">
        <v>9</v>
      </c>
      <c r="D201" s="81" t="e">
        <f>#REF!</f>
        <v>#REF!</v>
      </c>
      <c r="E201" s="81"/>
      <c r="F201" s="81"/>
      <c r="G201" s="82" t="e">
        <f>#REF!</f>
        <v>#REF!</v>
      </c>
      <c r="H201" s="92" t="e">
        <f>#REF!</f>
        <v>#REF!</v>
      </c>
      <c r="I201" s="84" t="str">
        <f>IFERROR(M201*MIN(Table_Measure_Caps[[#Totals],[Estimated Raw Incentive Total]], Table_Measure_Caps[[#Totals],[Gross Measure Cost Total]], Value_Project_CAP)/Table_Measure_Caps[[#Totals],[Estimated Raw Incentive Total]], "")</f>
        <v/>
      </c>
      <c r="J201" s="81" t="e">
        <f>#REF!</f>
        <v>#REF!</v>
      </c>
      <c r="K201" s="85" t="str">
        <f t="shared" si="8"/>
        <v>Version 4.0</v>
      </c>
      <c r="L201" s="86" t="e">
        <f>#REF!</f>
        <v>#REF!</v>
      </c>
      <c r="M201" s="83" t="e">
        <f>#REF!</f>
        <v>#REF!</v>
      </c>
    </row>
    <row r="202" spans="1:13" hidden="1" x14ac:dyDescent="0.2">
      <c r="A202" s="80" t="s">
        <v>151</v>
      </c>
      <c r="B202" s="81">
        <f t="shared" si="9"/>
        <v>0</v>
      </c>
      <c r="C202" s="81">
        <v>10</v>
      </c>
      <c r="D202" s="81" t="e">
        <f>#REF!</f>
        <v>#REF!</v>
      </c>
      <c r="E202" s="81"/>
      <c r="F202" s="81"/>
      <c r="G202" s="82" t="e">
        <f>#REF!</f>
        <v>#REF!</v>
      </c>
      <c r="H202" s="92" t="e">
        <f>#REF!</f>
        <v>#REF!</v>
      </c>
      <c r="I202" s="84" t="str">
        <f>IFERROR(M202*MIN(Table_Measure_Caps[[#Totals],[Estimated Raw Incentive Total]], Table_Measure_Caps[[#Totals],[Gross Measure Cost Total]], Value_Project_CAP)/Table_Measure_Caps[[#Totals],[Estimated Raw Incentive Total]], "")</f>
        <v/>
      </c>
      <c r="J202" s="81" t="e">
        <f>#REF!</f>
        <v>#REF!</v>
      </c>
      <c r="K202" s="85" t="str">
        <f t="shared" si="8"/>
        <v>Version 4.0</v>
      </c>
      <c r="L202" s="86" t="e">
        <f>#REF!</f>
        <v>#REF!</v>
      </c>
      <c r="M202" s="83" t="e">
        <f>#REF!</f>
        <v>#REF!</v>
      </c>
    </row>
    <row r="203" spans="1:13" hidden="1" x14ac:dyDescent="0.2">
      <c r="A203" s="80" t="s">
        <v>151</v>
      </c>
      <c r="B203" s="81">
        <f t="shared" si="9"/>
        <v>0</v>
      </c>
      <c r="C203" s="81">
        <v>11</v>
      </c>
      <c r="D203" s="81" t="e">
        <f>#REF!</f>
        <v>#REF!</v>
      </c>
      <c r="E203" s="81"/>
      <c r="F203" s="81"/>
      <c r="G203" s="82" t="e">
        <f>#REF!</f>
        <v>#REF!</v>
      </c>
      <c r="H203" s="92" t="e">
        <f>#REF!</f>
        <v>#REF!</v>
      </c>
      <c r="I203" s="84" t="str">
        <f>IFERROR(M203*MIN(Table_Measure_Caps[[#Totals],[Estimated Raw Incentive Total]], Table_Measure_Caps[[#Totals],[Gross Measure Cost Total]], Value_Project_CAP)/Table_Measure_Caps[[#Totals],[Estimated Raw Incentive Total]], "")</f>
        <v/>
      </c>
      <c r="J203" s="81" t="e">
        <f>#REF!</f>
        <v>#REF!</v>
      </c>
      <c r="K203" s="85" t="str">
        <f t="shared" si="8"/>
        <v>Version 4.0</v>
      </c>
      <c r="L203" s="86" t="e">
        <f>#REF!</f>
        <v>#REF!</v>
      </c>
      <c r="M203" s="83" t="e">
        <f>#REF!</f>
        <v>#REF!</v>
      </c>
    </row>
    <row r="204" spans="1:13" hidden="1" x14ac:dyDescent="0.2">
      <c r="A204" s="80" t="s">
        <v>151</v>
      </c>
      <c r="B204" s="81">
        <f t="shared" si="9"/>
        <v>0</v>
      </c>
      <c r="C204" s="81">
        <v>12</v>
      </c>
      <c r="D204" s="81" t="e">
        <f>#REF!</f>
        <v>#REF!</v>
      </c>
      <c r="E204" s="81"/>
      <c r="F204" s="81"/>
      <c r="G204" s="82" t="e">
        <f>#REF!</f>
        <v>#REF!</v>
      </c>
      <c r="H204" s="92" t="e">
        <f>#REF!</f>
        <v>#REF!</v>
      </c>
      <c r="I204" s="84" t="str">
        <f>IFERROR(M204*MIN(Table_Measure_Caps[[#Totals],[Estimated Raw Incentive Total]], Table_Measure_Caps[[#Totals],[Gross Measure Cost Total]], Value_Project_CAP)/Table_Measure_Caps[[#Totals],[Estimated Raw Incentive Total]], "")</f>
        <v/>
      </c>
      <c r="J204" s="81" t="e">
        <f>#REF!</f>
        <v>#REF!</v>
      </c>
      <c r="K204" s="85" t="str">
        <f t="shared" si="8"/>
        <v>Version 4.0</v>
      </c>
      <c r="L204" s="86" t="e">
        <f>#REF!</f>
        <v>#REF!</v>
      </c>
      <c r="M204" s="83" t="e">
        <f>#REF!</f>
        <v>#REF!</v>
      </c>
    </row>
    <row r="205" spans="1:13" hidden="1" x14ac:dyDescent="0.2">
      <c r="A205" s="80" t="s">
        <v>151</v>
      </c>
      <c r="B205" s="81">
        <f t="shared" si="9"/>
        <v>0</v>
      </c>
      <c r="C205" s="81">
        <v>13</v>
      </c>
      <c r="D205" s="81" t="e">
        <f>#REF!</f>
        <v>#REF!</v>
      </c>
      <c r="E205" s="81"/>
      <c r="F205" s="81"/>
      <c r="G205" s="82" t="e">
        <f>#REF!</f>
        <v>#REF!</v>
      </c>
      <c r="H205" s="92" t="e">
        <f>#REF!</f>
        <v>#REF!</v>
      </c>
      <c r="I205" s="84" t="str">
        <f>IFERROR(M205*MIN(Table_Measure_Caps[[#Totals],[Estimated Raw Incentive Total]], Table_Measure_Caps[[#Totals],[Gross Measure Cost Total]], Value_Project_CAP)/Table_Measure_Caps[[#Totals],[Estimated Raw Incentive Total]], "")</f>
        <v/>
      </c>
      <c r="J205" s="81" t="e">
        <f>#REF!</f>
        <v>#REF!</v>
      </c>
      <c r="K205" s="85" t="str">
        <f t="shared" si="8"/>
        <v>Version 4.0</v>
      </c>
      <c r="L205" s="86" t="e">
        <f>#REF!</f>
        <v>#REF!</v>
      </c>
      <c r="M205" s="83" t="e">
        <f>#REF!</f>
        <v>#REF!</v>
      </c>
    </row>
    <row r="206" spans="1:13" hidden="1" x14ac:dyDescent="0.2">
      <c r="A206" s="80" t="s">
        <v>151</v>
      </c>
      <c r="B206" s="81">
        <f t="shared" si="9"/>
        <v>0</v>
      </c>
      <c r="C206" s="81">
        <v>14</v>
      </c>
      <c r="D206" s="81" t="e">
        <f>#REF!</f>
        <v>#REF!</v>
      </c>
      <c r="E206" s="81"/>
      <c r="F206" s="81"/>
      <c r="G206" s="82" t="e">
        <f>#REF!</f>
        <v>#REF!</v>
      </c>
      <c r="H206" s="92" t="e">
        <f>#REF!</f>
        <v>#REF!</v>
      </c>
      <c r="I206" s="84" t="str">
        <f>IFERROR(M206*MIN(Table_Measure_Caps[[#Totals],[Estimated Raw Incentive Total]], Table_Measure_Caps[[#Totals],[Gross Measure Cost Total]], Value_Project_CAP)/Table_Measure_Caps[[#Totals],[Estimated Raw Incentive Total]], "")</f>
        <v/>
      </c>
      <c r="J206" s="81" t="e">
        <f>#REF!</f>
        <v>#REF!</v>
      </c>
      <c r="K206" s="85" t="str">
        <f t="shared" si="8"/>
        <v>Version 4.0</v>
      </c>
      <c r="L206" s="86" t="e">
        <f>#REF!</f>
        <v>#REF!</v>
      </c>
      <c r="M206" s="83" t="e">
        <f>#REF!</f>
        <v>#REF!</v>
      </c>
    </row>
    <row r="207" spans="1:13" hidden="1" x14ac:dyDescent="0.2">
      <c r="A207" s="80" t="s">
        <v>151</v>
      </c>
      <c r="B207" s="81">
        <f t="shared" si="9"/>
        <v>0</v>
      </c>
      <c r="C207" s="81">
        <v>15</v>
      </c>
      <c r="D207" s="81" t="e">
        <f>#REF!</f>
        <v>#REF!</v>
      </c>
      <c r="E207" s="81"/>
      <c r="F207" s="81"/>
      <c r="G207" s="82" t="e">
        <f>#REF!</f>
        <v>#REF!</v>
      </c>
      <c r="H207" s="92" t="e">
        <f>#REF!</f>
        <v>#REF!</v>
      </c>
      <c r="I207" s="84" t="str">
        <f>IFERROR(M207*MIN(Table_Measure_Caps[[#Totals],[Estimated Raw Incentive Total]], Table_Measure_Caps[[#Totals],[Gross Measure Cost Total]], Value_Project_CAP)/Table_Measure_Caps[[#Totals],[Estimated Raw Incentive Total]], "")</f>
        <v/>
      </c>
      <c r="J207" s="81" t="e">
        <f>#REF!</f>
        <v>#REF!</v>
      </c>
      <c r="K207" s="85" t="str">
        <f t="shared" si="8"/>
        <v>Version 4.0</v>
      </c>
      <c r="L207" s="86" t="e">
        <f>#REF!</f>
        <v>#REF!</v>
      </c>
      <c r="M207" s="83" t="e">
        <f>#REF!</f>
        <v>#REF!</v>
      </c>
    </row>
    <row r="208" spans="1:13" hidden="1" x14ac:dyDescent="0.2">
      <c r="A208" s="80" t="s">
        <v>151</v>
      </c>
      <c r="B208" s="81">
        <f t="shared" si="9"/>
        <v>0</v>
      </c>
      <c r="C208" s="81">
        <v>16</v>
      </c>
      <c r="D208" s="81" t="e">
        <f>#REF!</f>
        <v>#REF!</v>
      </c>
      <c r="E208" s="81"/>
      <c r="F208" s="81"/>
      <c r="G208" s="82" t="e">
        <f>#REF!</f>
        <v>#REF!</v>
      </c>
      <c r="H208" s="92" t="e">
        <f>#REF!</f>
        <v>#REF!</v>
      </c>
      <c r="I208" s="84" t="str">
        <f>IFERROR(M208*MIN(Table_Measure_Caps[[#Totals],[Estimated Raw Incentive Total]], Table_Measure_Caps[[#Totals],[Gross Measure Cost Total]], Value_Project_CAP)/Table_Measure_Caps[[#Totals],[Estimated Raw Incentive Total]], "")</f>
        <v/>
      </c>
      <c r="J208" s="81" t="e">
        <f>#REF!</f>
        <v>#REF!</v>
      </c>
      <c r="K208" s="85" t="str">
        <f t="shared" si="8"/>
        <v>Version 4.0</v>
      </c>
      <c r="L208" s="86" t="e">
        <f>#REF!</f>
        <v>#REF!</v>
      </c>
      <c r="M208" s="83" t="e">
        <f>#REF!</f>
        <v>#REF!</v>
      </c>
    </row>
    <row r="209" spans="1:13" hidden="1" x14ac:dyDescent="0.2">
      <c r="A209" s="80" t="s">
        <v>151</v>
      </c>
      <c r="B209" s="81">
        <f t="shared" si="9"/>
        <v>0</v>
      </c>
      <c r="C209" s="81">
        <v>17</v>
      </c>
      <c r="D209" s="81" t="e">
        <f>#REF!</f>
        <v>#REF!</v>
      </c>
      <c r="E209" s="81"/>
      <c r="F209" s="81"/>
      <c r="G209" s="82" t="e">
        <f>#REF!</f>
        <v>#REF!</v>
      </c>
      <c r="H209" s="92" t="e">
        <f>#REF!</f>
        <v>#REF!</v>
      </c>
      <c r="I209" s="84" t="str">
        <f>IFERROR(M209*MIN(Table_Measure_Caps[[#Totals],[Estimated Raw Incentive Total]], Table_Measure_Caps[[#Totals],[Gross Measure Cost Total]], Value_Project_CAP)/Table_Measure_Caps[[#Totals],[Estimated Raw Incentive Total]], "")</f>
        <v/>
      </c>
      <c r="J209" s="81" t="e">
        <f>#REF!</f>
        <v>#REF!</v>
      </c>
      <c r="K209" s="85" t="str">
        <f t="shared" si="8"/>
        <v>Version 4.0</v>
      </c>
      <c r="L209" s="86" t="e">
        <f>#REF!</f>
        <v>#REF!</v>
      </c>
      <c r="M209" s="83" t="e">
        <f>#REF!</f>
        <v>#REF!</v>
      </c>
    </row>
    <row r="210" spans="1:13" hidden="1" x14ac:dyDescent="0.2">
      <c r="A210" s="80" t="s">
        <v>151</v>
      </c>
      <c r="B210" s="81">
        <f t="shared" si="9"/>
        <v>0</v>
      </c>
      <c r="C210" s="81">
        <v>18</v>
      </c>
      <c r="D210" s="81" t="e">
        <f>#REF!</f>
        <v>#REF!</v>
      </c>
      <c r="E210" s="81"/>
      <c r="F210" s="81"/>
      <c r="G210" s="82" t="e">
        <f>#REF!</f>
        <v>#REF!</v>
      </c>
      <c r="H210" s="92" t="e">
        <f>#REF!</f>
        <v>#REF!</v>
      </c>
      <c r="I210" s="84" t="str">
        <f>IFERROR(M210*MIN(Table_Measure_Caps[[#Totals],[Estimated Raw Incentive Total]], Table_Measure_Caps[[#Totals],[Gross Measure Cost Total]], Value_Project_CAP)/Table_Measure_Caps[[#Totals],[Estimated Raw Incentive Total]], "")</f>
        <v/>
      </c>
      <c r="J210" s="81" t="e">
        <f>#REF!</f>
        <v>#REF!</v>
      </c>
      <c r="K210" s="85" t="str">
        <f t="shared" si="8"/>
        <v>Version 4.0</v>
      </c>
      <c r="L210" s="86" t="e">
        <f>#REF!</f>
        <v>#REF!</v>
      </c>
      <c r="M210" s="83" t="e">
        <f>#REF!</f>
        <v>#REF!</v>
      </c>
    </row>
    <row r="211" spans="1:13" hidden="1" x14ac:dyDescent="0.2">
      <c r="A211" s="80" t="s">
        <v>151</v>
      </c>
      <c r="B211" s="81">
        <f t="shared" si="9"/>
        <v>0</v>
      </c>
      <c r="C211" s="81">
        <v>19</v>
      </c>
      <c r="D211" s="81" t="e">
        <f>#REF!</f>
        <v>#REF!</v>
      </c>
      <c r="E211" s="81"/>
      <c r="F211" s="81"/>
      <c r="G211" s="82" t="e">
        <f>#REF!</f>
        <v>#REF!</v>
      </c>
      <c r="H211" s="92" t="e">
        <f>#REF!</f>
        <v>#REF!</v>
      </c>
      <c r="I211" s="84" t="str">
        <f>IFERROR(M211*MIN(Table_Measure_Caps[[#Totals],[Estimated Raw Incentive Total]], Table_Measure_Caps[[#Totals],[Gross Measure Cost Total]], Value_Project_CAP)/Table_Measure_Caps[[#Totals],[Estimated Raw Incentive Total]], "")</f>
        <v/>
      </c>
      <c r="J211" s="81" t="e">
        <f>#REF!</f>
        <v>#REF!</v>
      </c>
      <c r="K211" s="85" t="str">
        <f t="shared" si="8"/>
        <v>Version 4.0</v>
      </c>
      <c r="L211" s="86" t="e">
        <f>#REF!</f>
        <v>#REF!</v>
      </c>
      <c r="M211" s="83" t="e">
        <f>#REF!</f>
        <v>#REF!</v>
      </c>
    </row>
    <row r="212" spans="1:13" hidden="1" x14ac:dyDescent="0.2">
      <c r="A212" s="80" t="s">
        <v>151</v>
      </c>
      <c r="B212" s="81">
        <f t="shared" si="9"/>
        <v>0</v>
      </c>
      <c r="C212" s="81">
        <v>20</v>
      </c>
      <c r="D212" s="81" t="e">
        <f>#REF!</f>
        <v>#REF!</v>
      </c>
      <c r="E212" s="81"/>
      <c r="F212" s="81"/>
      <c r="G212" s="82" t="e">
        <f>#REF!</f>
        <v>#REF!</v>
      </c>
      <c r="H212" s="92" t="e">
        <f>#REF!</f>
        <v>#REF!</v>
      </c>
      <c r="I212" s="84" t="str">
        <f>IFERROR(M212*MIN(Table_Measure_Caps[[#Totals],[Estimated Raw Incentive Total]], Table_Measure_Caps[[#Totals],[Gross Measure Cost Total]], Value_Project_CAP)/Table_Measure_Caps[[#Totals],[Estimated Raw Incentive Total]], "")</f>
        <v/>
      </c>
      <c r="J212" s="81" t="e">
        <f>#REF!</f>
        <v>#REF!</v>
      </c>
      <c r="K212" s="85" t="str">
        <f t="shared" si="8"/>
        <v>Version 4.0</v>
      </c>
      <c r="L212" s="86" t="e">
        <f>#REF!</f>
        <v>#REF!</v>
      </c>
      <c r="M212" s="83" t="e">
        <f>#REF!</f>
        <v>#REF!</v>
      </c>
    </row>
  </sheetData>
  <conditionalFormatting sqref="A1:H1 J1:M1">
    <cfRule type="containsBlanks" dxfId="18" priority="3">
      <formula>LEN(TRIM(A1))=0</formula>
    </cfRule>
  </conditionalFormatting>
  <conditionalFormatting sqref="I1">
    <cfRule type="containsBlanks" dxfId="17" priority="1">
      <formula>LEN(TRIM(I1))=0</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rgb="FFFF1A58"/>
    <pageSetUpPr fitToPage="1"/>
  </sheetPr>
  <dimension ref="B1:H55"/>
  <sheetViews>
    <sheetView showGridLines="0" showRowColHeaders="0" workbookViewId="0">
      <selection activeCell="C5" sqref="C5"/>
    </sheetView>
  </sheetViews>
  <sheetFormatPr defaultRowHeight="12.75" x14ac:dyDescent="0.2"/>
  <cols>
    <col min="1" max="1" width="2.28515625" style="39" customWidth="1"/>
    <col min="2" max="2" width="31.85546875" style="51" customWidth="1"/>
    <col min="3" max="3" width="39.140625" style="39" customWidth="1"/>
    <col min="4" max="4" width="1.7109375" style="39" customWidth="1"/>
    <col min="5" max="5" width="31.85546875" style="51" customWidth="1"/>
    <col min="6" max="6" width="39.140625" style="39" customWidth="1"/>
    <col min="7" max="7" width="9.140625" style="39"/>
    <col min="8" max="8" width="45.85546875" style="39" customWidth="1"/>
    <col min="9" max="16384" width="9.140625" style="39"/>
  </cols>
  <sheetData>
    <row r="1" spans="2:8" ht="74.25" customHeight="1" x14ac:dyDescent="0.2"/>
    <row r="2" spans="2:8" ht="37.5" customHeight="1" x14ac:dyDescent="0.2">
      <c r="B2" s="323" t="s">
        <v>479</v>
      </c>
      <c r="C2" s="323"/>
      <c r="D2" s="323"/>
      <c r="E2" s="323"/>
      <c r="F2" s="159"/>
    </row>
    <row r="4" spans="2:8" ht="15.75" x14ac:dyDescent="0.2">
      <c r="B4" s="326" t="s">
        <v>313</v>
      </c>
      <c r="C4" s="326"/>
      <c r="E4" s="326" t="s">
        <v>332</v>
      </c>
      <c r="F4" s="326"/>
      <c r="H4" s="51"/>
    </row>
    <row r="5" spans="2:8" ht="12.75" customHeight="1" x14ac:dyDescent="0.2">
      <c r="B5" s="129" t="s">
        <v>314</v>
      </c>
      <c r="C5" s="196"/>
      <c r="E5" s="327" t="s">
        <v>335</v>
      </c>
      <c r="F5" s="328"/>
      <c r="H5" s="51"/>
    </row>
    <row r="6" spans="2:8" x14ac:dyDescent="0.2">
      <c r="B6" s="129" t="s">
        <v>315</v>
      </c>
      <c r="C6" s="196"/>
      <c r="E6" s="327"/>
      <c r="F6" s="328"/>
    </row>
    <row r="7" spans="2:8" ht="25.5" x14ac:dyDescent="0.2">
      <c r="B7" s="129" t="s">
        <v>316</v>
      </c>
      <c r="C7" s="196"/>
      <c r="E7" s="327"/>
      <c r="F7" s="328"/>
    </row>
    <row r="8" spans="2:8" x14ac:dyDescent="0.2">
      <c r="B8" s="129" t="s">
        <v>1</v>
      </c>
      <c r="C8" s="196"/>
      <c r="E8" s="327"/>
      <c r="F8" s="328"/>
    </row>
    <row r="9" spans="2:8" x14ac:dyDescent="0.2">
      <c r="B9" s="129" t="s">
        <v>2</v>
      </c>
      <c r="C9" s="196"/>
      <c r="E9" s="129" t="s">
        <v>336</v>
      </c>
      <c r="F9" s="197"/>
    </row>
    <row r="10" spans="2:8" x14ac:dyDescent="0.2">
      <c r="B10" s="129" t="s">
        <v>317</v>
      </c>
      <c r="C10" s="196"/>
      <c r="E10" s="129" t="s">
        <v>337</v>
      </c>
      <c r="F10" s="197"/>
    </row>
    <row r="11" spans="2:8" x14ac:dyDescent="0.2">
      <c r="B11" s="129" t="s">
        <v>318</v>
      </c>
      <c r="C11" s="196"/>
      <c r="E11" s="129" t="s">
        <v>338</v>
      </c>
      <c r="F11" s="196"/>
    </row>
    <row r="12" spans="2:8" x14ac:dyDescent="0.2">
      <c r="B12" s="129" t="s">
        <v>319</v>
      </c>
      <c r="C12" s="196"/>
      <c r="E12" s="129" t="s">
        <v>339</v>
      </c>
      <c r="F12" s="196"/>
    </row>
    <row r="13" spans="2:8" x14ac:dyDescent="0.2">
      <c r="B13" s="129" t="s">
        <v>320</v>
      </c>
      <c r="C13" s="196"/>
      <c r="E13" s="129" t="s">
        <v>340</v>
      </c>
      <c r="F13" s="196"/>
    </row>
    <row r="14" spans="2:8" ht="15.75" x14ac:dyDescent="0.2">
      <c r="B14" s="129" t="s">
        <v>5</v>
      </c>
      <c r="C14" s="196"/>
      <c r="E14" s="326" t="s">
        <v>333</v>
      </c>
      <c r="F14" s="326"/>
    </row>
    <row r="15" spans="2:8" ht="25.5" x14ac:dyDescent="0.2">
      <c r="B15" s="129" t="s">
        <v>321</v>
      </c>
      <c r="C15" s="196"/>
      <c r="D15" s="1"/>
      <c r="E15" s="129" t="s">
        <v>341</v>
      </c>
      <c r="F15" s="196"/>
    </row>
    <row r="16" spans="2:8" ht="15.75" x14ac:dyDescent="0.2">
      <c r="B16" s="326" t="s">
        <v>322</v>
      </c>
      <c r="C16" s="326"/>
      <c r="D16" s="1"/>
      <c r="E16" s="129" t="s">
        <v>342</v>
      </c>
      <c r="F16" s="196"/>
    </row>
    <row r="17" spans="2:6" x14ac:dyDescent="0.2">
      <c r="B17" s="129" t="s">
        <v>323</v>
      </c>
      <c r="C17" s="196"/>
      <c r="D17" s="1"/>
      <c r="E17" s="129" t="s">
        <v>343</v>
      </c>
      <c r="F17" s="196"/>
    </row>
    <row r="18" spans="2:6" x14ac:dyDescent="0.2">
      <c r="B18" s="129" t="s">
        <v>324</v>
      </c>
      <c r="C18" s="196"/>
      <c r="D18" s="1"/>
      <c r="E18" s="129" t="s">
        <v>1</v>
      </c>
      <c r="F18" s="196"/>
    </row>
    <row r="19" spans="2:6" x14ac:dyDescent="0.2">
      <c r="B19" s="129" t="s">
        <v>7</v>
      </c>
      <c r="C19" s="196"/>
      <c r="D19" s="1"/>
      <c r="E19" s="129" t="s">
        <v>2</v>
      </c>
      <c r="F19" s="196"/>
    </row>
    <row r="20" spans="2:6" x14ac:dyDescent="0.2">
      <c r="B20" s="129" t="s">
        <v>1</v>
      </c>
      <c r="C20" s="196"/>
      <c r="D20" s="1"/>
      <c r="E20" s="129" t="s">
        <v>8</v>
      </c>
      <c r="F20" s="196"/>
    </row>
    <row r="21" spans="2:6" x14ac:dyDescent="0.2">
      <c r="B21" s="129" t="s">
        <v>2</v>
      </c>
      <c r="C21" s="196"/>
      <c r="D21" s="1"/>
      <c r="E21" s="129" t="s">
        <v>318</v>
      </c>
      <c r="F21" s="196"/>
    </row>
    <row r="22" spans="2:6" x14ac:dyDescent="0.2">
      <c r="B22" s="129" t="s">
        <v>317</v>
      </c>
      <c r="C22" s="196"/>
      <c r="D22" s="1"/>
      <c r="E22" s="129" t="s">
        <v>325</v>
      </c>
      <c r="F22" s="196"/>
    </row>
    <row r="23" spans="2:6" x14ac:dyDescent="0.2">
      <c r="B23" s="129" t="s">
        <v>318</v>
      </c>
      <c r="C23" s="196"/>
      <c r="D23" s="1"/>
      <c r="E23" s="129" t="s">
        <v>344</v>
      </c>
      <c r="F23" s="196"/>
    </row>
    <row r="24" spans="2:6" x14ac:dyDescent="0.2">
      <c r="B24" s="129" t="s">
        <v>325</v>
      </c>
      <c r="C24" s="196"/>
      <c r="D24" s="1"/>
      <c r="E24" s="129" t="s">
        <v>345</v>
      </c>
      <c r="F24" s="196"/>
    </row>
    <row r="25" spans="2:6" x14ac:dyDescent="0.2">
      <c r="B25" s="129" t="s">
        <v>326</v>
      </c>
      <c r="C25" s="196"/>
      <c r="D25" s="1"/>
      <c r="E25" s="129" t="s">
        <v>346</v>
      </c>
      <c r="F25" s="196"/>
    </row>
    <row r="26" spans="2:6" ht="15.75" x14ac:dyDescent="0.2">
      <c r="B26" s="326" t="s">
        <v>327</v>
      </c>
      <c r="C26" s="326"/>
      <c r="D26" s="28"/>
      <c r="E26" s="129" t="s">
        <v>347</v>
      </c>
      <c r="F26" s="198"/>
    </row>
    <row r="27" spans="2:6" ht="25.5" x14ac:dyDescent="0.2">
      <c r="B27" s="129" t="s">
        <v>314</v>
      </c>
      <c r="C27" s="196"/>
      <c r="D27" s="28"/>
      <c r="E27" s="129" t="s">
        <v>10</v>
      </c>
      <c r="F27" s="196"/>
    </row>
    <row r="28" spans="2:6" x14ac:dyDescent="0.2">
      <c r="B28" s="129" t="s">
        <v>328</v>
      </c>
      <c r="C28" s="196"/>
      <c r="D28" s="1"/>
      <c r="E28" s="129" t="s">
        <v>348</v>
      </c>
      <c r="F28" s="199"/>
    </row>
    <row r="29" spans="2:6" x14ac:dyDescent="0.2">
      <c r="B29" s="129" t="s">
        <v>7</v>
      </c>
      <c r="C29" s="196"/>
      <c r="D29" s="1"/>
      <c r="E29" s="129" t="s">
        <v>349</v>
      </c>
      <c r="F29" s="196"/>
    </row>
    <row r="30" spans="2:6" x14ac:dyDescent="0.2">
      <c r="B30" s="129" t="s">
        <v>1</v>
      </c>
      <c r="C30" s="196"/>
      <c r="D30" s="28"/>
      <c r="E30" s="129" t="s">
        <v>350</v>
      </c>
      <c r="F30" s="196"/>
    </row>
    <row r="31" spans="2:6" x14ac:dyDescent="0.2">
      <c r="B31" s="129" t="s">
        <v>2</v>
      </c>
      <c r="C31" s="196"/>
      <c r="D31" s="28"/>
      <c r="E31" s="129" t="s">
        <v>351</v>
      </c>
      <c r="F31" s="196"/>
    </row>
    <row r="32" spans="2:6" ht="15.75" x14ac:dyDescent="0.2">
      <c r="B32" s="129" t="s">
        <v>317</v>
      </c>
      <c r="C32" s="196"/>
      <c r="D32" s="28"/>
      <c r="E32" s="324" t="s">
        <v>334</v>
      </c>
      <c r="F32" s="325"/>
    </row>
    <row r="33" spans="2:6" x14ac:dyDescent="0.2">
      <c r="B33" s="129" t="s">
        <v>318</v>
      </c>
      <c r="C33" s="196"/>
      <c r="D33" s="28"/>
      <c r="E33" s="129" t="s">
        <v>352</v>
      </c>
      <c r="F33" s="196"/>
    </row>
    <row r="34" spans="2:6" x14ac:dyDescent="0.2">
      <c r="B34" s="129" t="s">
        <v>325</v>
      </c>
      <c r="C34" s="196"/>
      <c r="D34" s="28"/>
      <c r="E34" s="129" t="s">
        <v>353</v>
      </c>
      <c r="F34" s="196"/>
    </row>
    <row r="35" spans="2:6" x14ac:dyDescent="0.2">
      <c r="B35" s="129" t="s">
        <v>329</v>
      </c>
      <c r="C35" s="196"/>
      <c r="D35" s="1"/>
      <c r="E35" s="129" t="s">
        <v>354</v>
      </c>
      <c r="F35" s="196"/>
    </row>
    <row r="36" spans="2:6" ht="15.75" x14ac:dyDescent="0.2">
      <c r="B36" s="324" t="s">
        <v>330</v>
      </c>
      <c r="C36" s="325"/>
      <c r="D36" s="1"/>
      <c r="E36" s="129" t="s">
        <v>355</v>
      </c>
      <c r="F36" s="196"/>
    </row>
    <row r="37" spans="2:6" ht="25.5" x14ac:dyDescent="0.2">
      <c r="B37" s="129" t="s">
        <v>485</v>
      </c>
      <c r="C37" s="196"/>
      <c r="D37" s="1"/>
      <c r="E37" s="129" t="s">
        <v>356</v>
      </c>
      <c r="F37" s="196"/>
    </row>
    <row r="38" spans="2:6" ht="25.5" x14ac:dyDescent="0.2">
      <c r="B38" s="129" t="s">
        <v>331</v>
      </c>
      <c r="C38" s="196"/>
      <c r="D38" s="1"/>
    </row>
    <row r="39" spans="2:6" x14ac:dyDescent="0.2">
      <c r="D39" s="1"/>
    </row>
    <row r="40" spans="2:6" x14ac:dyDescent="0.2">
      <c r="B40" s="39"/>
      <c r="E40" s="39"/>
    </row>
    <row r="41" spans="2:6" x14ac:dyDescent="0.2">
      <c r="B41" s="39" t="s">
        <v>401</v>
      </c>
      <c r="E41" s="39"/>
    </row>
    <row r="42" spans="2:6" x14ac:dyDescent="0.2">
      <c r="B42" s="39" t="str">
        <f>Value_Application_Version</f>
        <v>Version 4.0</v>
      </c>
      <c r="E42" s="39"/>
    </row>
    <row r="43" spans="2:6" x14ac:dyDescent="0.2">
      <c r="B43" s="39"/>
      <c r="E43" s="39"/>
    </row>
    <row r="48" spans="2:6" x14ac:dyDescent="0.2">
      <c r="D48" s="1"/>
    </row>
    <row r="49" spans="4:6" x14ac:dyDescent="0.2">
      <c r="D49" s="1"/>
    </row>
    <row r="50" spans="4:6" x14ac:dyDescent="0.2">
      <c r="D50" s="1"/>
    </row>
    <row r="51" spans="4:6" x14ac:dyDescent="0.2">
      <c r="D51" s="1"/>
    </row>
    <row r="52" spans="4:6" x14ac:dyDescent="0.2">
      <c r="D52" s="1"/>
    </row>
    <row r="55" spans="4:6" x14ac:dyDescent="0.2">
      <c r="E55" s="40"/>
      <c r="F55" s="26"/>
    </row>
  </sheetData>
  <sheetProtection algorithmName="SHA-512" hashValue="UDN4aL575N/p3C9eyNmvvga9poQ+6jH8ls+wdqVX4vW3YqZS7cRK4mBTWKduMf9MDUvBfbywrVJt9EBEYNJc1Q==" saltValue="RC2wfBPcgUcDda7IJYY76w=="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References!$AJ$4:$AJ$5</xm:f>
          </x14:formula1>
          <xm:sqref>F27</xm:sqref>
        </x14:dataValidation>
        <x14:dataValidation type="list" allowBlank="1" showInputMessage="1" showErrorMessage="1" xr:uid="{8DBB6B1A-EC45-4445-AADC-6C9B4FC7FE62}">
          <x14:formula1>
            <xm:f>References!$AF$4:$AF$5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1"/>
  </sheetPr>
  <dimension ref="A1:AZ205"/>
  <sheetViews>
    <sheetView showGridLines="0" showRowColHeaders="0" workbookViewId="0">
      <selection activeCell="E4" sqref="E4"/>
    </sheetView>
  </sheetViews>
  <sheetFormatPr defaultColWidth="9.140625" defaultRowHeight="12.75" customHeight="1" x14ac:dyDescent="0.2"/>
  <cols>
    <col min="1" max="1" width="2.140625" style="160" customWidth="1"/>
    <col min="2" max="2" width="5.28515625" style="160" customWidth="1"/>
    <col min="3" max="3" width="10.42578125" style="160" customWidth="1"/>
    <col min="4" max="4" width="20.140625" style="160" bestFit="1" customWidth="1"/>
    <col min="5" max="5" width="31.85546875" style="160" customWidth="1"/>
    <col min="6" max="6" width="19.7109375" style="164" customWidth="1"/>
    <col min="7" max="8" width="11.85546875" style="160" customWidth="1"/>
    <col min="9" max="11" width="12.85546875" style="230" customWidth="1"/>
    <col min="12" max="12" width="14.42578125" style="160" hidden="1" customWidth="1"/>
    <col min="13" max="13" width="13.7109375" style="160" hidden="1" customWidth="1"/>
    <col min="14" max="14" width="14.140625" style="160" hidden="1" customWidth="1"/>
    <col min="15" max="15" width="14" style="160" hidden="1" customWidth="1"/>
    <col min="16" max="16" width="13.42578125" style="160" customWidth="1"/>
    <col min="17" max="17" width="10" style="160" customWidth="1"/>
    <col min="18" max="18" width="11" style="160" customWidth="1"/>
    <col min="19" max="19" width="12" style="160" customWidth="1"/>
    <col min="20" max="20" width="11.85546875" style="160" customWidth="1"/>
    <col min="21" max="21" width="10.28515625" style="160" customWidth="1"/>
    <col min="22" max="22" width="12.28515625" style="160" customWidth="1"/>
    <col min="23" max="23" width="13.42578125" style="160" customWidth="1"/>
    <col min="24" max="24" width="9.5703125" style="160" customWidth="1"/>
    <col min="25" max="16384" width="9.140625" style="160"/>
  </cols>
  <sheetData>
    <row r="1" spans="1:52" ht="68.25" customHeight="1" x14ac:dyDescent="0.2">
      <c r="B1" s="330"/>
      <c r="C1" s="330"/>
      <c r="D1" s="330"/>
      <c r="E1" s="330"/>
      <c r="F1" s="330"/>
      <c r="G1" s="330"/>
    </row>
    <row r="2" spans="1:52" ht="37.5" customHeight="1" x14ac:dyDescent="0.2">
      <c r="B2" s="321" t="s">
        <v>480</v>
      </c>
      <c r="C2" s="321"/>
      <c r="D2" s="321"/>
      <c r="E2" s="321"/>
      <c r="F2" s="321"/>
      <c r="G2" s="321"/>
      <c r="H2" s="321"/>
      <c r="I2" s="321"/>
      <c r="J2" s="321"/>
      <c r="K2" s="321"/>
      <c r="L2" s="321"/>
      <c r="M2" s="321"/>
      <c r="N2" s="321"/>
      <c r="O2" s="321"/>
      <c r="P2" s="321"/>
      <c r="Q2" s="321"/>
      <c r="R2" s="321"/>
      <c r="S2" s="321"/>
      <c r="T2" s="321"/>
      <c r="U2" s="321"/>
      <c r="V2" s="162"/>
      <c r="W2" s="162"/>
      <c r="X2" s="162"/>
    </row>
    <row r="3" spans="1:52" x14ac:dyDescent="0.2">
      <c r="F3" s="160"/>
      <c r="R3" s="163"/>
    </row>
    <row r="4" spans="1:52" x14ac:dyDescent="0.2">
      <c r="A4" s="163"/>
      <c r="D4" s="161" t="s">
        <v>358</v>
      </c>
      <c r="E4" s="202"/>
      <c r="G4" s="329" t="s">
        <v>22</v>
      </c>
      <c r="H4" s="329"/>
      <c r="I4" s="329"/>
      <c r="J4" s="329"/>
      <c r="K4" s="329"/>
      <c r="L4" s="329"/>
      <c r="M4" s="329"/>
      <c r="N4" s="329"/>
      <c r="O4" s="329"/>
      <c r="P4" s="329"/>
      <c r="Q4" s="179" t="s">
        <v>23</v>
      </c>
      <c r="R4" s="180">
        <f>SUM(R$6:R$55)</f>
        <v>0</v>
      </c>
      <c r="S4" s="181">
        <f>SUM(S$6:S$55)</f>
        <v>0</v>
      </c>
      <c r="T4" s="182">
        <f>SUM(T$6:T$55)</f>
        <v>0</v>
      </c>
      <c r="U4" s="183">
        <f>SUM(U$6:U$55)</f>
        <v>0</v>
      </c>
      <c r="V4" s="183">
        <f>SUM(Table_PrescriptLights_Input[Gross measure cost])</f>
        <v>0</v>
      </c>
      <c r="W4" s="183">
        <f>SUM(W$6:W$55)</f>
        <v>0</v>
      </c>
      <c r="X4" s="181" t="str">
        <f>IFERROR(W4/U4,"")</f>
        <v/>
      </c>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row>
    <row r="5" spans="1:52" ht="38.25" x14ac:dyDescent="0.2">
      <c r="A5" s="165"/>
      <c r="B5" s="166" t="s">
        <v>359</v>
      </c>
      <c r="C5" s="167" t="s">
        <v>360</v>
      </c>
      <c r="D5" s="168" t="s">
        <v>361</v>
      </c>
      <c r="E5" s="167" t="s">
        <v>362</v>
      </c>
      <c r="F5" s="169" t="s">
        <v>363</v>
      </c>
      <c r="G5" s="177" t="s">
        <v>364</v>
      </c>
      <c r="H5" s="177" t="s">
        <v>365</v>
      </c>
      <c r="I5" s="177" t="s">
        <v>472</v>
      </c>
      <c r="J5" s="177" t="s">
        <v>473</v>
      </c>
      <c r="K5" s="177" t="s">
        <v>474</v>
      </c>
      <c r="L5" s="177" t="s">
        <v>366</v>
      </c>
      <c r="M5" s="177" t="s">
        <v>367</v>
      </c>
      <c r="N5" s="177" t="s">
        <v>368</v>
      </c>
      <c r="O5" s="177" t="s">
        <v>369</v>
      </c>
      <c r="P5" s="178" t="s">
        <v>475</v>
      </c>
      <c r="Q5" s="169" t="s">
        <v>370</v>
      </c>
      <c r="R5" s="169" t="s">
        <v>371</v>
      </c>
      <c r="S5" s="169" t="s">
        <v>372</v>
      </c>
      <c r="T5" s="169" t="s">
        <v>373</v>
      </c>
      <c r="U5" s="169" t="s">
        <v>374</v>
      </c>
      <c r="V5" s="169" t="s">
        <v>375</v>
      </c>
      <c r="W5" s="169" t="s">
        <v>376</v>
      </c>
      <c r="X5" s="169" t="s">
        <v>377</v>
      </c>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row>
    <row r="6" spans="1:52" ht="15" x14ac:dyDescent="0.2">
      <c r="A6" s="170"/>
      <c r="B6" s="174">
        <v>1</v>
      </c>
      <c r="C6" s="175" t="str">
        <f>IFERROR(INDEX(Table_Prescript_Meas[Measure Number], MATCH(E6, Table_Prescript_Meas[Measure Description], 0)), "")</f>
        <v/>
      </c>
      <c r="D6" s="209"/>
      <c r="E6" s="210"/>
      <c r="F6" s="175" t="str">
        <f>IFERROR(INDEX(Table_Prescript_Meas[Units], MATCH(Table_PrescriptLights_Input[[#This Row],[Measure number]], Table_Prescript_Meas[Measure Number], 0)), "")</f>
        <v/>
      </c>
      <c r="G6" s="215"/>
      <c r="H6" s="216"/>
      <c r="I6" s="216"/>
      <c r="J6"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6"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6" s="215"/>
      <c r="M6" s="215"/>
      <c r="N6" s="217"/>
      <c r="O6" s="217"/>
      <c r="P6" s="218"/>
      <c r="Q6" s="173"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6" s="206" t="str">
        <f>IF(Table_PrescriptLights_Input[[#This Row],[Unit capacity (tons)]]="","",IFERROR(Table_PrescriptLights_Input[[#This Row],[Per-unit incentive]],""))</f>
        <v/>
      </c>
      <c r="S6"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6"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6" s="206" t="str">
        <f>IFERROR(Table_PrescriptLights_Input[[#This Row],[Energy savings (kWh)]]*Input_AvgkWhRate, "")</f>
        <v/>
      </c>
      <c r="V6" s="206" t="str">
        <f>IF(Table_PrescriptLights_Input[[#This Row],[Unit capacity (tons)]]="", "",Table_PrescriptLights_Input[[#This Row],[Total equipment + labor cost]])</f>
        <v/>
      </c>
      <c r="W6" s="206" t="str">
        <f>IFERROR(Table_PrescriptLights_Input[[#This Row],[Gross measure cost]]-Table_PrescriptLights_Input[[#This Row],[Estimated incentive]], "")</f>
        <v/>
      </c>
      <c r="X6" s="207" t="str">
        <f t="shared" ref="X6:X55" si="0">IFERROR($W6/$U6,"")</f>
        <v/>
      </c>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row>
    <row r="7" spans="1:52" ht="15" x14ac:dyDescent="0.2">
      <c r="A7" s="170"/>
      <c r="B7" s="174">
        <v>2</v>
      </c>
      <c r="C7" s="175" t="str">
        <f>IFERROR(INDEX(Table_Prescript_Meas[Measure Number], MATCH(E7, Table_Prescript_Meas[Measure Description], 0)), "")</f>
        <v/>
      </c>
      <c r="D7" s="209"/>
      <c r="E7" s="210"/>
      <c r="F7" s="175" t="str">
        <f>IFERROR(INDEX(Table_Prescript_Meas[Units], MATCH(Table_PrescriptLights_Input[[#This Row],[Measure number]], Table_Prescript_Meas[Measure Number], 0)), "")</f>
        <v/>
      </c>
      <c r="G7" s="215"/>
      <c r="H7" s="216"/>
      <c r="I7" s="216"/>
      <c r="J7"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7"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7" s="215"/>
      <c r="M7" s="215"/>
      <c r="N7" s="217"/>
      <c r="O7" s="217"/>
      <c r="P7" s="218"/>
      <c r="Q7"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7" s="206" t="str">
        <f>IF(Table_PrescriptLights_Input[[#This Row],[Unit capacity (tons)]]="","",IFERROR(Table_PrescriptLights_Input[[#This Row],[Per-unit incentive]],""))</f>
        <v/>
      </c>
      <c r="S7"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7"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7" s="206" t="str">
        <f>IFERROR(Table_PrescriptLights_Input[[#This Row],[Energy savings (kWh)]]*Input_AvgkWhRate, "")</f>
        <v/>
      </c>
      <c r="V7" s="206" t="str">
        <f>IF(Table_PrescriptLights_Input[[#This Row],[Unit capacity (tons)]]="", "",Table_PrescriptLights_Input[[#This Row],[Total equipment + labor cost]])</f>
        <v/>
      </c>
      <c r="W7" s="206" t="str">
        <f>IFERROR(Table_PrescriptLights_Input[[#This Row],[Gross measure cost]]-Table_PrescriptLights_Input[[#This Row],[Estimated incentive]], "")</f>
        <v/>
      </c>
      <c r="X7" s="207" t="str">
        <f t="shared" si="0"/>
        <v/>
      </c>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c r="AW7" s="170"/>
      <c r="AX7" s="170"/>
      <c r="AY7" s="170"/>
      <c r="AZ7" s="170"/>
    </row>
    <row r="8" spans="1:52" ht="15" x14ac:dyDescent="0.2">
      <c r="A8" s="170"/>
      <c r="B8" s="174">
        <v>3</v>
      </c>
      <c r="C8" s="175" t="str">
        <f>IFERROR(INDEX(Table_Prescript_Meas[Measure Number], MATCH(E8, Table_Prescript_Meas[Measure Description], 0)), "")</f>
        <v/>
      </c>
      <c r="D8" s="209"/>
      <c r="E8" s="210"/>
      <c r="F8" s="175" t="str">
        <f>IFERROR(INDEX(Table_Prescript_Meas[Units], MATCH(Table_PrescriptLights_Input[[#This Row],[Measure number]], Table_Prescript_Meas[Measure Number], 0)), "")</f>
        <v/>
      </c>
      <c r="G8" s="215"/>
      <c r="H8" s="216"/>
      <c r="I8" s="216"/>
      <c r="J8"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8"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8" s="215"/>
      <c r="M8" s="215"/>
      <c r="N8" s="217"/>
      <c r="O8" s="217"/>
      <c r="P8" s="218"/>
      <c r="Q8"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8" s="206" t="str">
        <f>IF(Table_PrescriptLights_Input[[#This Row],[Unit capacity (tons)]]="","",IFERROR(Table_PrescriptLights_Input[[#This Row],[Per-unit incentive]],""))</f>
        <v/>
      </c>
      <c r="S8"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8"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8" s="206" t="str">
        <f>IFERROR(Table_PrescriptLights_Input[[#This Row],[Energy savings (kWh)]]*Input_AvgkWhRate, "")</f>
        <v/>
      </c>
      <c r="V8" s="206" t="str">
        <f>IF(Table_PrescriptLights_Input[[#This Row],[Unit capacity (tons)]]="", "",Table_PrescriptLights_Input[[#This Row],[Total equipment + labor cost]])</f>
        <v/>
      </c>
      <c r="W8" s="206" t="str">
        <f>IFERROR(Table_PrescriptLights_Input[[#This Row],[Gross measure cost]]-Table_PrescriptLights_Input[[#This Row],[Estimated incentive]], "")</f>
        <v/>
      </c>
      <c r="X8" s="207" t="str">
        <f t="shared" si="0"/>
        <v/>
      </c>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row>
    <row r="9" spans="1:52" ht="15" x14ac:dyDescent="0.2">
      <c r="A9" s="170"/>
      <c r="B9" s="174">
        <v>4</v>
      </c>
      <c r="C9" s="175" t="str">
        <f>IFERROR(INDEX(Table_Prescript_Meas[Measure Number], MATCH(E9, Table_Prescript_Meas[Measure Description], 0)), "")</f>
        <v/>
      </c>
      <c r="D9" s="209"/>
      <c r="E9" s="210"/>
      <c r="F9" s="175" t="str">
        <f>IFERROR(INDEX(Table_Prescript_Meas[Units], MATCH(Table_PrescriptLights_Input[[#This Row],[Measure number]], Table_Prescript_Meas[Measure Number], 0)), "")</f>
        <v/>
      </c>
      <c r="G9" s="215"/>
      <c r="H9" s="216"/>
      <c r="I9" s="216"/>
      <c r="J9"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9"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9" s="215"/>
      <c r="M9" s="215"/>
      <c r="N9" s="217"/>
      <c r="O9" s="217"/>
      <c r="P9" s="218"/>
      <c r="Q9"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9" s="206" t="str">
        <f>IF(Table_PrescriptLights_Input[[#This Row],[Unit capacity (tons)]]="","",IFERROR(Table_PrescriptLights_Input[[#This Row],[Per-unit incentive]],""))</f>
        <v/>
      </c>
      <c r="S9"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9"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9" s="206" t="str">
        <f>IFERROR(Table_PrescriptLights_Input[[#This Row],[Energy savings (kWh)]]*Input_AvgkWhRate, "")</f>
        <v/>
      </c>
      <c r="V9" s="206" t="str">
        <f>IF(Table_PrescriptLights_Input[[#This Row],[Unit capacity (tons)]]="", "",Table_PrescriptLights_Input[[#This Row],[Total equipment + labor cost]])</f>
        <v/>
      </c>
      <c r="W9" s="206" t="str">
        <f>IFERROR(Table_PrescriptLights_Input[[#This Row],[Gross measure cost]]-Table_PrescriptLights_Input[[#This Row],[Estimated incentive]], "")</f>
        <v/>
      </c>
      <c r="X9" s="207" t="str">
        <f t="shared" si="0"/>
        <v/>
      </c>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row>
    <row r="10" spans="1:52" ht="15" x14ac:dyDescent="0.2">
      <c r="A10" s="170"/>
      <c r="B10" s="174">
        <v>5</v>
      </c>
      <c r="C10" s="175" t="str">
        <f>IFERROR(INDEX(Table_Prescript_Meas[Measure Number], MATCH(E10, Table_Prescript_Meas[Measure Description], 0)), "")</f>
        <v/>
      </c>
      <c r="D10" s="209"/>
      <c r="E10" s="210"/>
      <c r="F10" s="175" t="str">
        <f>IFERROR(INDEX(Table_Prescript_Meas[Units], MATCH(Table_PrescriptLights_Input[[#This Row],[Measure number]], Table_Prescript_Meas[Measure Number], 0)), "")</f>
        <v/>
      </c>
      <c r="G10" s="215"/>
      <c r="H10" s="216"/>
      <c r="I10" s="216"/>
      <c r="J10"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0"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0" s="215"/>
      <c r="M10" s="215"/>
      <c r="N10" s="217"/>
      <c r="O10" s="217"/>
      <c r="P10" s="218"/>
      <c r="Q10"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0" s="206" t="str">
        <f>IF(Table_PrescriptLights_Input[[#This Row],[Unit capacity (tons)]]="","",IFERROR(Table_PrescriptLights_Input[[#This Row],[Per-unit incentive]],""))</f>
        <v/>
      </c>
      <c r="S10"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0"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0" s="206" t="str">
        <f>IFERROR(Table_PrescriptLights_Input[[#This Row],[Energy savings (kWh)]]*Input_AvgkWhRate, "")</f>
        <v/>
      </c>
      <c r="V10" s="206" t="str">
        <f>IF(Table_PrescriptLights_Input[[#This Row],[Unit capacity (tons)]]="", "",Table_PrescriptLights_Input[[#This Row],[Total equipment + labor cost]])</f>
        <v/>
      </c>
      <c r="W10" s="206" t="str">
        <f>IFERROR(Table_PrescriptLights_Input[[#This Row],[Gross measure cost]]-Table_PrescriptLights_Input[[#This Row],[Estimated incentive]], "")</f>
        <v/>
      </c>
      <c r="X10" s="207" t="str">
        <f t="shared" si="0"/>
        <v/>
      </c>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row>
    <row r="11" spans="1:52" ht="15" x14ac:dyDescent="0.2">
      <c r="A11" s="170"/>
      <c r="B11" s="174">
        <v>6</v>
      </c>
      <c r="C11" s="175" t="str">
        <f>IFERROR(INDEX(Table_Prescript_Meas[Measure Number], MATCH(E11, Table_Prescript_Meas[Measure Description], 0)), "")</f>
        <v/>
      </c>
      <c r="D11" s="209"/>
      <c r="E11" s="210"/>
      <c r="F11" s="175" t="str">
        <f>IFERROR(INDEX(Table_Prescript_Meas[Units], MATCH(Table_PrescriptLights_Input[[#This Row],[Measure number]], Table_Prescript_Meas[Measure Number], 0)), "")</f>
        <v/>
      </c>
      <c r="G11" s="215"/>
      <c r="H11" s="216"/>
      <c r="I11" s="216"/>
      <c r="J11"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1"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1" s="215"/>
      <c r="M11" s="215"/>
      <c r="N11" s="217"/>
      <c r="O11" s="217"/>
      <c r="P11" s="218"/>
      <c r="Q11"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1" s="206" t="str">
        <f>IF(Table_PrescriptLights_Input[[#This Row],[Unit capacity (tons)]]="","",IFERROR(Table_PrescriptLights_Input[[#This Row],[Per-unit incentive]],""))</f>
        <v/>
      </c>
      <c r="S11"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1"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1" s="206" t="str">
        <f>IFERROR(Table_PrescriptLights_Input[[#This Row],[Energy savings (kWh)]]*Input_AvgkWhRate, "")</f>
        <v/>
      </c>
      <c r="V11" s="206" t="str">
        <f>IF(Table_PrescriptLights_Input[[#This Row],[Unit capacity (tons)]]="", "",Table_PrescriptLights_Input[[#This Row],[Total equipment + labor cost]])</f>
        <v/>
      </c>
      <c r="W11" s="206" t="str">
        <f>IFERROR(Table_PrescriptLights_Input[[#This Row],[Gross measure cost]]-Table_PrescriptLights_Input[[#This Row],[Estimated incentive]], "")</f>
        <v/>
      </c>
      <c r="X11" s="207" t="str">
        <f t="shared" si="0"/>
        <v/>
      </c>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row>
    <row r="12" spans="1:52" ht="15" x14ac:dyDescent="0.2">
      <c r="A12" s="170"/>
      <c r="B12" s="174">
        <v>7</v>
      </c>
      <c r="C12" s="175" t="str">
        <f>IFERROR(INDEX(Table_Prescript_Meas[Measure Number], MATCH(E12, Table_Prescript_Meas[Measure Description], 0)), "")</f>
        <v/>
      </c>
      <c r="D12" s="209"/>
      <c r="E12" s="210"/>
      <c r="F12" s="175" t="str">
        <f>IFERROR(INDEX(Table_Prescript_Meas[Units], MATCH(Table_PrescriptLights_Input[[#This Row],[Measure number]], Table_Prescript_Meas[Measure Number], 0)), "")</f>
        <v/>
      </c>
      <c r="G12" s="215"/>
      <c r="H12" s="216"/>
      <c r="I12" s="216"/>
      <c r="J12"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2"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2" s="215"/>
      <c r="M12" s="215"/>
      <c r="N12" s="217"/>
      <c r="O12" s="217"/>
      <c r="P12" s="218"/>
      <c r="Q12"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2" s="206" t="str">
        <f>IF(Table_PrescriptLights_Input[[#This Row],[Unit capacity (tons)]]="","",IFERROR(Table_PrescriptLights_Input[[#This Row],[Per-unit incentive]],""))</f>
        <v/>
      </c>
      <c r="S12"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2"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2" s="206" t="str">
        <f>IFERROR(Table_PrescriptLights_Input[[#This Row],[Energy savings (kWh)]]*Input_AvgkWhRate, "")</f>
        <v/>
      </c>
      <c r="V12" s="206" t="str">
        <f>IF(Table_PrescriptLights_Input[[#This Row],[Unit capacity (tons)]]="", "",Table_PrescriptLights_Input[[#This Row],[Total equipment + labor cost]])</f>
        <v/>
      </c>
      <c r="W12" s="206" t="str">
        <f>IFERROR(Table_PrescriptLights_Input[[#This Row],[Gross measure cost]]-Table_PrescriptLights_Input[[#This Row],[Estimated incentive]], "")</f>
        <v/>
      </c>
      <c r="X12" s="207" t="str">
        <f t="shared" si="0"/>
        <v/>
      </c>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row>
    <row r="13" spans="1:52" ht="15" x14ac:dyDescent="0.2">
      <c r="A13" s="170"/>
      <c r="B13" s="174">
        <v>8</v>
      </c>
      <c r="C13" s="175" t="str">
        <f>IFERROR(INDEX(Table_Prescript_Meas[Measure Number], MATCH(E13, Table_Prescript_Meas[Measure Description], 0)), "")</f>
        <v/>
      </c>
      <c r="D13" s="209"/>
      <c r="E13" s="210"/>
      <c r="F13" s="175" t="str">
        <f>IFERROR(INDEX(Table_Prescript_Meas[Units], MATCH(Table_PrescriptLights_Input[[#This Row],[Measure number]], Table_Prescript_Meas[Measure Number], 0)), "")</f>
        <v/>
      </c>
      <c r="G13" s="215"/>
      <c r="H13" s="216"/>
      <c r="I13" s="216"/>
      <c r="J13"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3"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3" s="215"/>
      <c r="M13" s="215"/>
      <c r="N13" s="217"/>
      <c r="O13" s="217"/>
      <c r="P13" s="218"/>
      <c r="Q13"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3" s="206" t="str">
        <f>IF(Table_PrescriptLights_Input[[#This Row],[Unit capacity (tons)]]="","",IFERROR(Table_PrescriptLights_Input[[#This Row],[Per-unit incentive]],""))</f>
        <v/>
      </c>
      <c r="S13"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3"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3" s="206" t="str">
        <f>IFERROR(Table_PrescriptLights_Input[[#This Row],[Energy savings (kWh)]]*Input_AvgkWhRate, "")</f>
        <v/>
      </c>
      <c r="V13" s="206" t="str">
        <f>IF(Table_PrescriptLights_Input[[#This Row],[Unit capacity (tons)]]="", "",Table_PrescriptLights_Input[[#This Row],[Total equipment + labor cost]])</f>
        <v/>
      </c>
      <c r="W13" s="206" t="str">
        <f>IFERROR(Table_PrescriptLights_Input[[#This Row],[Gross measure cost]]-Table_PrescriptLights_Input[[#This Row],[Estimated incentive]], "")</f>
        <v/>
      </c>
      <c r="X13" s="207" t="str">
        <f t="shared" si="0"/>
        <v/>
      </c>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row>
    <row r="14" spans="1:52" ht="15" x14ac:dyDescent="0.2">
      <c r="A14" s="170"/>
      <c r="B14" s="174">
        <v>9</v>
      </c>
      <c r="C14" s="175" t="str">
        <f>IFERROR(INDEX(Table_Prescript_Meas[Measure Number], MATCH(E14, Table_Prescript_Meas[Measure Description], 0)), "")</f>
        <v/>
      </c>
      <c r="D14" s="209"/>
      <c r="E14" s="210"/>
      <c r="F14" s="175" t="str">
        <f>IFERROR(INDEX(Table_Prescript_Meas[Units], MATCH(Table_PrescriptLights_Input[[#This Row],[Measure number]], Table_Prescript_Meas[Measure Number], 0)), "")</f>
        <v/>
      </c>
      <c r="G14" s="215"/>
      <c r="H14" s="216"/>
      <c r="I14" s="216"/>
      <c r="J14"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4"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4" s="215"/>
      <c r="M14" s="215"/>
      <c r="N14" s="217"/>
      <c r="O14" s="217"/>
      <c r="P14" s="218"/>
      <c r="Q14"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4" s="206" t="str">
        <f>IF(Table_PrescriptLights_Input[[#This Row],[Unit capacity (tons)]]="","",IFERROR(Table_PrescriptLights_Input[[#This Row],[Per-unit incentive]],""))</f>
        <v/>
      </c>
      <c r="S14"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4"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4" s="206" t="str">
        <f>IFERROR(Table_PrescriptLights_Input[[#This Row],[Energy savings (kWh)]]*Input_AvgkWhRate, "")</f>
        <v/>
      </c>
      <c r="V14" s="206" t="str">
        <f>IF(Table_PrescriptLights_Input[[#This Row],[Unit capacity (tons)]]="", "",Table_PrescriptLights_Input[[#This Row],[Total equipment + labor cost]])</f>
        <v/>
      </c>
      <c r="W14" s="206" t="str">
        <f>IFERROR(Table_PrescriptLights_Input[[#This Row],[Gross measure cost]]-Table_PrescriptLights_Input[[#This Row],[Estimated incentive]], "")</f>
        <v/>
      </c>
      <c r="X14" s="207" t="str">
        <f t="shared" si="0"/>
        <v/>
      </c>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row>
    <row r="15" spans="1:52" ht="15" x14ac:dyDescent="0.2">
      <c r="A15" s="170"/>
      <c r="B15" s="174">
        <v>10</v>
      </c>
      <c r="C15" s="175" t="str">
        <f>IFERROR(INDEX(Table_Prescript_Meas[Measure Number], MATCH(E15, Table_Prescript_Meas[Measure Description], 0)), "")</f>
        <v/>
      </c>
      <c r="D15" s="209"/>
      <c r="E15" s="210"/>
      <c r="F15" s="175" t="str">
        <f>IFERROR(INDEX(Table_Prescript_Meas[Units], MATCH(Table_PrescriptLights_Input[[#This Row],[Measure number]], Table_Prescript_Meas[Measure Number], 0)), "")</f>
        <v/>
      </c>
      <c r="G15" s="215"/>
      <c r="H15" s="216"/>
      <c r="I15" s="216"/>
      <c r="J15"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5"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5" s="215"/>
      <c r="M15" s="215"/>
      <c r="N15" s="217"/>
      <c r="O15" s="217"/>
      <c r="P15" s="218"/>
      <c r="Q15"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5" s="206" t="str">
        <f>IF(Table_PrescriptLights_Input[[#This Row],[Unit capacity (tons)]]="","",IFERROR(Table_PrescriptLights_Input[[#This Row],[Per-unit incentive]],""))</f>
        <v/>
      </c>
      <c r="S15"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5"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5" s="206" t="str">
        <f>IFERROR(Table_PrescriptLights_Input[[#This Row],[Energy savings (kWh)]]*Input_AvgkWhRate, "")</f>
        <v/>
      </c>
      <c r="V15" s="206" t="str">
        <f>IF(Table_PrescriptLights_Input[[#This Row],[Unit capacity (tons)]]="", "",Table_PrescriptLights_Input[[#This Row],[Total equipment + labor cost]])</f>
        <v/>
      </c>
      <c r="W15" s="206" t="str">
        <f>IFERROR(Table_PrescriptLights_Input[[#This Row],[Gross measure cost]]-Table_PrescriptLights_Input[[#This Row],[Estimated incentive]], "")</f>
        <v/>
      </c>
      <c r="X15" s="207" t="str">
        <f t="shared" si="0"/>
        <v/>
      </c>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row>
    <row r="16" spans="1:52" ht="15" x14ac:dyDescent="0.2">
      <c r="A16" s="170"/>
      <c r="B16" s="174">
        <v>11</v>
      </c>
      <c r="C16" s="175" t="str">
        <f>IFERROR(INDEX(Table_Prescript_Meas[Measure Number], MATCH(E16, Table_Prescript_Meas[Measure Description], 0)), "")</f>
        <v/>
      </c>
      <c r="D16" s="209"/>
      <c r="E16" s="210"/>
      <c r="F16" s="175" t="str">
        <f>IFERROR(INDEX(Table_Prescript_Meas[Units], MATCH(Table_PrescriptLights_Input[[#This Row],[Measure number]], Table_Prescript_Meas[Measure Number], 0)), "")</f>
        <v/>
      </c>
      <c r="G16" s="215"/>
      <c r="H16" s="216"/>
      <c r="I16" s="216"/>
      <c r="J16"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6"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6" s="215"/>
      <c r="M16" s="215"/>
      <c r="N16" s="217"/>
      <c r="O16" s="217"/>
      <c r="P16" s="218"/>
      <c r="Q16"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6" s="206" t="str">
        <f>IF(Table_PrescriptLights_Input[[#This Row],[Unit capacity (tons)]]="","",IFERROR(Table_PrescriptLights_Input[[#This Row],[Per-unit incentive]],""))</f>
        <v/>
      </c>
      <c r="S16"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6"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6" s="206" t="str">
        <f>IFERROR(Table_PrescriptLights_Input[[#This Row],[Energy savings (kWh)]]*Input_AvgkWhRate, "")</f>
        <v/>
      </c>
      <c r="V16" s="206" t="str">
        <f>IF(Table_PrescriptLights_Input[[#This Row],[Unit capacity (tons)]]="", "",Table_PrescriptLights_Input[[#This Row],[Total equipment + labor cost]])</f>
        <v/>
      </c>
      <c r="W16" s="206" t="str">
        <f>IFERROR(Table_PrescriptLights_Input[[#This Row],[Gross measure cost]]-Table_PrescriptLights_Input[[#This Row],[Estimated incentive]], "")</f>
        <v/>
      </c>
      <c r="X16" s="207" t="str">
        <f t="shared" si="0"/>
        <v/>
      </c>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c r="AW16" s="170"/>
      <c r="AX16" s="170"/>
      <c r="AY16" s="170"/>
      <c r="AZ16" s="170"/>
    </row>
    <row r="17" spans="1:52" ht="15" x14ac:dyDescent="0.2">
      <c r="A17" s="170"/>
      <c r="B17" s="174">
        <v>12</v>
      </c>
      <c r="C17" s="175" t="str">
        <f>IFERROR(INDEX(Table_Prescript_Meas[Measure Number], MATCH(E17, Table_Prescript_Meas[Measure Description], 0)), "")</f>
        <v/>
      </c>
      <c r="D17" s="209"/>
      <c r="E17" s="210"/>
      <c r="F17" s="175" t="str">
        <f>IFERROR(INDEX(Table_Prescript_Meas[Units], MATCH(Table_PrescriptLights_Input[[#This Row],[Measure number]], Table_Prescript_Meas[Measure Number], 0)), "")</f>
        <v/>
      </c>
      <c r="G17" s="215"/>
      <c r="H17" s="216"/>
      <c r="I17" s="216"/>
      <c r="J17"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7"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7" s="215"/>
      <c r="M17" s="215"/>
      <c r="N17" s="217"/>
      <c r="O17" s="217"/>
      <c r="P17" s="218"/>
      <c r="Q17"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7" s="206" t="str">
        <f>IF(Table_PrescriptLights_Input[[#This Row],[Unit capacity (tons)]]="","",IFERROR(Table_PrescriptLights_Input[[#This Row],[Per-unit incentive]],""))</f>
        <v/>
      </c>
      <c r="S17"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7"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7" s="206" t="str">
        <f>IFERROR(Table_PrescriptLights_Input[[#This Row],[Energy savings (kWh)]]*Input_AvgkWhRate, "")</f>
        <v/>
      </c>
      <c r="V17" s="206" t="str">
        <f>IF(Table_PrescriptLights_Input[[#This Row],[Unit capacity (tons)]]="", "",Table_PrescriptLights_Input[[#This Row],[Total equipment + labor cost]])</f>
        <v/>
      </c>
      <c r="W17" s="206" t="str">
        <f>IFERROR(Table_PrescriptLights_Input[[#This Row],[Gross measure cost]]-Table_PrescriptLights_Input[[#This Row],[Estimated incentive]], "")</f>
        <v/>
      </c>
      <c r="X17" s="207" t="str">
        <f t="shared" si="0"/>
        <v/>
      </c>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row>
    <row r="18" spans="1:52" ht="15" x14ac:dyDescent="0.2">
      <c r="A18" s="170"/>
      <c r="B18" s="174">
        <v>13</v>
      </c>
      <c r="C18" s="175" t="str">
        <f>IFERROR(INDEX(Table_Prescript_Meas[Measure Number], MATCH(E18, Table_Prescript_Meas[Measure Description], 0)), "")</f>
        <v/>
      </c>
      <c r="D18" s="209"/>
      <c r="E18" s="210"/>
      <c r="F18" s="175" t="str">
        <f>IFERROR(INDEX(Table_Prescript_Meas[Units], MATCH(Table_PrescriptLights_Input[[#This Row],[Measure number]], Table_Prescript_Meas[Measure Number], 0)), "")</f>
        <v/>
      </c>
      <c r="G18" s="215"/>
      <c r="H18" s="216"/>
      <c r="I18" s="216"/>
      <c r="J18"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8"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8" s="215"/>
      <c r="M18" s="215"/>
      <c r="N18" s="217"/>
      <c r="O18" s="217"/>
      <c r="P18" s="218"/>
      <c r="Q18"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8" s="206" t="str">
        <f>IF(Table_PrescriptLights_Input[[#This Row],[Unit capacity (tons)]]="","",IFERROR(Table_PrescriptLights_Input[[#This Row],[Per-unit incentive]],""))</f>
        <v/>
      </c>
      <c r="S18"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8"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8" s="206" t="str">
        <f>IFERROR(Table_PrescriptLights_Input[[#This Row],[Energy savings (kWh)]]*Input_AvgkWhRate, "")</f>
        <v/>
      </c>
      <c r="V18" s="206" t="str">
        <f>IF(Table_PrescriptLights_Input[[#This Row],[Unit capacity (tons)]]="", "",Table_PrescriptLights_Input[[#This Row],[Total equipment + labor cost]])</f>
        <v/>
      </c>
      <c r="W18" s="206" t="str">
        <f>IFERROR(Table_PrescriptLights_Input[[#This Row],[Gross measure cost]]-Table_PrescriptLights_Input[[#This Row],[Estimated incentive]], "")</f>
        <v/>
      </c>
      <c r="X18" s="207" t="str">
        <f t="shared" si="0"/>
        <v/>
      </c>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row>
    <row r="19" spans="1:52" ht="15" x14ac:dyDescent="0.2">
      <c r="A19" s="170"/>
      <c r="B19" s="174">
        <v>14</v>
      </c>
      <c r="C19" s="175" t="str">
        <f>IFERROR(INDEX(Table_Prescript_Meas[Measure Number], MATCH(E19, Table_Prescript_Meas[Measure Description], 0)), "")</f>
        <v/>
      </c>
      <c r="D19" s="209"/>
      <c r="E19" s="210"/>
      <c r="F19" s="175" t="str">
        <f>IFERROR(INDEX(Table_Prescript_Meas[Units], MATCH(Table_PrescriptLights_Input[[#This Row],[Measure number]], Table_Prescript_Meas[Measure Number], 0)), "")</f>
        <v/>
      </c>
      <c r="G19" s="215"/>
      <c r="H19" s="216"/>
      <c r="I19" s="216"/>
      <c r="J19"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19"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19" s="215"/>
      <c r="M19" s="215"/>
      <c r="N19" s="217"/>
      <c r="O19" s="217"/>
      <c r="P19" s="218"/>
      <c r="Q19"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19" s="206" t="str">
        <f>IF(Table_PrescriptLights_Input[[#This Row],[Unit capacity (tons)]]="","",IFERROR(Table_PrescriptLights_Input[[#This Row],[Per-unit incentive]],""))</f>
        <v/>
      </c>
      <c r="S19"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19"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19" s="206" t="str">
        <f>IFERROR(Table_PrescriptLights_Input[[#This Row],[Energy savings (kWh)]]*Input_AvgkWhRate, "")</f>
        <v/>
      </c>
      <c r="V19" s="206" t="str">
        <f>IF(Table_PrescriptLights_Input[[#This Row],[Unit capacity (tons)]]="", "",Table_PrescriptLights_Input[[#This Row],[Total equipment + labor cost]])</f>
        <v/>
      </c>
      <c r="W19" s="206" t="str">
        <f>IFERROR(Table_PrescriptLights_Input[[#This Row],[Gross measure cost]]-Table_PrescriptLights_Input[[#This Row],[Estimated incentive]], "")</f>
        <v/>
      </c>
      <c r="X19" s="207" t="str">
        <f t="shared" si="0"/>
        <v/>
      </c>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row>
    <row r="20" spans="1:52" ht="15" x14ac:dyDescent="0.2">
      <c r="A20" s="170"/>
      <c r="B20" s="174">
        <v>15</v>
      </c>
      <c r="C20" s="175" t="str">
        <f>IFERROR(INDEX(Table_Prescript_Meas[Measure Number], MATCH(E20, Table_Prescript_Meas[Measure Description], 0)), "")</f>
        <v/>
      </c>
      <c r="D20" s="209"/>
      <c r="E20" s="210"/>
      <c r="F20" s="175" t="str">
        <f>IFERROR(INDEX(Table_Prescript_Meas[Units], MATCH(Table_PrescriptLights_Input[[#This Row],[Measure number]], Table_Prescript_Meas[Measure Number], 0)), "")</f>
        <v/>
      </c>
      <c r="G20" s="215"/>
      <c r="H20" s="216"/>
      <c r="I20" s="216"/>
      <c r="J20"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0"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0" s="215"/>
      <c r="M20" s="215"/>
      <c r="N20" s="217"/>
      <c r="O20" s="217"/>
      <c r="P20" s="218"/>
      <c r="Q20"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0" s="206" t="str">
        <f>IF(Table_PrescriptLights_Input[[#This Row],[Unit capacity (tons)]]="","",IFERROR(Table_PrescriptLights_Input[[#This Row],[Per-unit incentive]],""))</f>
        <v/>
      </c>
      <c r="S20"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0"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0" s="206" t="str">
        <f>IFERROR(Table_PrescriptLights_Input[[#This Row],[Energy savings (kWh)]]*Input_AvgkWhRate, "")</f>
        <v/>
      </c>
      <c r="V20" s="206" t="str">
        <f>IF(Table_PrescriptLights_Input[[#This Row],[Unit capacity (tons)]]="", "",Table_PrescriptLights_Input[[#This Row],[Total equipment + labor cost]])</f>
        <v/>
      </c>
      <c r="W20" s="206" t="str">
        <f>IFERROR(Table_PrescriptLights_Input[[#This Row],[Gross measure cost]]-Table_PrescriptLights_Input[[#This Row],[Estimated incentive]], "")</f>
        <v/>
      </c>
      <c r="X20" s="207" t="str">
        <f t="shared" si="0"/>
        <v/>
      </c>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row>
    <row r="21" spans="1:52" ht="15" x14ac:dyDescent="0.2">
      <c r="A21" s="170"/>
      <c r="B21" s="174">
        <v>16</v>
      </c>
      <c r="C21" s="175" t="str">
        <f>IFERROR(INDEX(Table_Prescript_Meas[Measure Number], MATCH(E21, Table_Prescript_Meas[Measure Description], 0)), "")</f>
        <v/>
      </c>
      <c r="D21" s="209"/>
      <c r="E21" s="210"/>
      <c r="F21" s="175" t="str">
        <f>IFERROR(INDEX(Table_Prescript_Meas[Units], MATCH(Table_PrescriptLights_Input[[#This Row],[Measure number]], Table_Prescript_Meas[Measure Number], 0)), "")</f>
        <v/>
      </c>
      <c r="G21" s="215"/>
      <c r="H21" s="216"/>
      <c r="I21" s="216"/>
      <c r="J21"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1"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1" s="215"/>
      <c r="M21" s="215"/>
      <c r="N21" s="217"/>
      <c r="O21" s="217"/>
      <c r="P21" s="218"/>
      <c r="Q21"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1" s="206" t="str">
        <f>IF(Table_PrescriptLights_Input[[#This Row],[Unit capacity (tons)]]="","",IFERROR(Table_PrescriptLights_Input[[#This Row],[Per-unit incentive]],""))</f>
        <v/>
      </c>
      <c r="S21"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1"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1" s="206" t="str">
        <f>IFERROR(Table_PrescriptLights_Input[[#This Row],[Energy savings (kWh)]]*Input_AvgkWhRate, "")</f>
        <v/>
      </c>
      <c r="V21" s="206" t="str">
        <f>IF(Table_PrescriptLights_Input[[#This Row],[Unit capacity (tons)]]="", "",Table_PrescriptLights_Input[[#This Row],[Total equipment + labor cost]])</f>
        <v/>
      </c>
      <c r="W21" s="206" t="str">
        <f>IFERROR(Table_PrescriptLights_Input[[#This Row],[Gross measure cost]]-Table_PrescriptLights_Input[[#This Row],[Estimated incentive]], "")</f>
        <v/>
      </c>
      <c r="X21" s="207" t="str">
        <f t="shared" si="0"/>
        <v/>
      </c>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row>
    <row r="22" spans="1:52" ht="15" x14ac:dyDescent="0.2">
      <c r="A22" s="170"/>
      <c r="B22" s="174">
        <v>17</v>
      </c>
      <c r="C22" s="175" t="str">
        <f>IFERROR(INDEX(Table_Prescript_Meas[Measure Number], MATCH(E22, Table_Prescript_Meas[Measure Description], 0)), "")</f>
        <v/>
      </c>
      <c r="D22" s="209"/>
      <c r="E22" s="210"/>
      <c r="F22" s="175" t="str">
        <f>IFERROR(INDEX(Table_Prescript_Meas[Units], MATCH(Table_PrescriptLights_Input[[#This Row],[Measure number]], Table_Prescript_Meas[Measure Number], 0)), "")</f>
        <v/>
      </c>
      <c r="G22" s="215"/>
      <c r="H22" s="216"/>
      <c r="I22" s="216"/>
      <c r="J22"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2"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2" s="215"/>
      <c r="M22" s="215"/>
      <c r="N22" s="217"/>
      <c r="O22" s="217"/>
      <c r="P22" s="218"/>
      <c r="Q22"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2" s="206" t="str">
        <f>IF(Table_PrescriptLights_Input[[#This Row],[Unit capacity (tons)]]="","",IFERROR(Table_PrescriptLights_Input[[#This Row],[Per-unit incentive]],""))</f>
        <v/>
      </c>
      <c r="S22"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2"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2" s="206" t="str">
        <f>IFERROR(Table_PrescriptLights_Input[[#This Row],[Energy savings (kWh)]]*Input_AvgkWhRate, "")</f>
        <v/>
      </c>
      <c r="V22" s="206" t="str">
        <f>IF(Table_PrescriptLights_Input[[#This Row],[Unit capacity (tons)]]="", "",Table_PrescriptLights_Input[[#This Row],[Total equipment + labor cost]])</f>
        <v/>
      </c>
      <c r="W22" s="206" t="str">
        <f>IFERROR(Table_PrescriptLights_Input[[#This Row],[Gross measure cost]]-Table_PrescriptLights_Input[[#This Row],[Estimated incentive]], "")</f>
        <v/>
      </c>
      <c r="X22" s="207" t="str">
        <f t="shared" si="0"/>
        <v/>
      </c>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row>
    <row r="23" spans="1:52" ht="15" x14ac:dyDescent="0.2">
      <c r="A23" s="170"/>
      <c r="B23" s="174">
        <v>18</v>
      </c>
      <c r="C23" s="175" t="str">
        <f>IFERROR(INDEX(Table_Prescript_Meas[Measure Number], MATCH(E23, Table_Prescript_Meas[Measure Description], 0)), "")</f>
        <v/>
      </c>
      <c r="D23" s="209"/>
      <c r="E23" s="210"/>
      <c r="F23" s="175" t="str">
        <f>IFERROR(INDEX(Table_Prescript_Meas[Units], MATCH(Table_PrescriptLights_Input[[#This Row],[Measure number]], Table_Prescript_Meas[Measure Number], 0)), "")</f>
        <v/>
      </c>
      <c r="G23" s="215"/>
      <c r="H23" s="216"/>
      <c r="I23" s="216"/>
      <c r="J23"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3"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3" s="215"/>
      <c r="M23" s="215"/>
      <c r="N23" s="217"/>
      <c r="O23" s="217"/>
      <c r="P23" s="218"/>
      <c r="Q23"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3" s="206" t="str">
        <f>IF(Table_PrescriptLights_Input[[#This Row],[Unit capacity (tons)]]="","",IFERROR(Table_PrescriptLights_Input[[#This Row],[Per-unit incentive]],""))</f>
        <v/>
      </c>
      <c r="S23"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3"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3" s="206" t="str">
        <f>IFERROR(Table_PrescriptLights_Input[[#This Row],[Energy savings (kWh)]]*Input_AvgkWhRate, "")</f>
        <v/>
      </c>
      <c r="V23" s="206" t="str">
        <f>IF(Table_PrescriptLights_Input[[#This Row],[Unit capacity (tons)]]="", "",Table_PrescriptLights_Input[[#This Row],[Total equipment + labor cost]])</f>
        <v/>
      </c>
      <c r="W23" s="206" t="str">
        <f>IFERROR(Table_PrescriptLights_Input[[#This Row],[Gross measure cost]]-Table_PrescriptLights_Input[[#This Row],[Estimated incentive]], "")</f>
        <v/>
      </c>
      <c r="X23" s="207" t="str">
        <f t="shared" si="0"/>
        <v/>
      </c>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row>
    <row r="24" spans="1:52" ht="15" x14ac:dyDescent="0.2">
      <c r="A24" s="170"/>
      <c r="B24" s="174">
        <v>19</v>
      </c>
      <c r="C24" s="175" t="str">
        <f>IFERROR(INDEX(Table_Prescript_Meas[Measure Number], MATCH(E24, Table_Prescript_Meas[Measure Description], 0)), "")</f>
        <v/>
      </c>
      <c r="D24" s="209"/>
      <c r="E24" s="210"/>
      <c r="F24" s="175" t="str">
        <f>IFERROR(INDEX(Table_Prescript_Meas[Units], MATCH(Table_PrescriptLights_Input[[#This Row],[Measure number]], Table_Prescript_Meas[Measure Number], 0)), "")</f>
        <v/>
      </c>
      <c r="G24" s="215"/>
      <c r="H24" s="216"/>
      <c r="I24" s="216"/>
      <c r="J24"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4"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4" s="215"/>
      <c r="M24" s="215"/>
      <c r="N24" s="217"/>
      <c r="O24" s="217"/>
      <c r="P24" s="218"/>
      <c r="Q24"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4" s="206" t="str">
        <f>IF(Table_PrescriptLights_Input[[#This Row],[Unit capacity (tons)]]="","",IFERROR(Table_PrescriptLights_Input[[#This Row],[Per-unit incentive]],""))</f>
        <v/>
      </c>
      <c r="S24"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4"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4" s="206" t="str">
        <f>IFERROR(Table_PrescriptLights_Input[[#This Row],[Energy savings (kWh)]]*Input_AvgkWhRate, "")</f>
        <v/>
      </c>
      <c r="V24" s="206" t="str">
        <f>IF(Table_PrescriptLights_Input[[#This Row],[Unit capacity (tons)]]="", "",Table_PrescriptLights_Input[[#This Row],[Total equipment + labor cost]])</f>
        <v/>
      </c>
      <c r="W24" s="206" t="str">
        <f>IFERROR(Table_PrescriptLights_Input[[#This Row],[Gross measure cost]]-Table_PrescriptLights_Input[[#This Row],[Estimated incentive]], "")</f>
        <v/>
      </c>
      <c r="X24" s="207" t="str">
        <f t="shared" si="0"/>
        <v/>
      </c>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row>
    <row r="25" spans="1:52" ht="15" x14ac:dyDescent="0.2">
      <c r="A25" s="170"/>
      <c r="B25" s="174">
        <v>20</v>
      </c>
      <c r="C25" s="175" t="str">
        <f>IFERROR(INDEX(Table_Prescript_Meas[Measure Number], MATCH(E25, Table_Prescript_Meas[Measure Description], 0)), "")</f>
        <v/>
      </c>
      <c r="D25" s="209"/>
      <c r="E25" s="210"/>
      <c r="F25" s="175" t="str">
        <f>IFERROR(INDEX(Table_Prescript_Meas[Units], MATCH(Table_PrescriptLights_Input[[#This Row],[Measure number]], Table_Prescript_Meas[Measure Number], 0)), "")</f>
        <v/>
      </c>
      <c r="G25" s="215"/>
      <c r="H25" s="216"/>
      <c r="I25" s="216"/>
      <c r="J25"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5"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5" s="215"/>
      <c r="M25" s="215"/>
      <c r="N25" s="217"/>
      <c r="O25" s="217"/>
      <c r="P25" s="218"/>
      <c r="Q25"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5" s="206" t="str">
        <f>IF(Table_PrescriptLights_Input[[#This Row],[Unit capacity (tons)]]="","",IFERROR(Table_PrescriptLights_Input[[#This Row],[Per-unit incentive]],""))</f>
        <v/>
      </c>
      <c r="S25"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5"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5" s="206" t="str">
        <f>IFERROR(Table_PrescriptLights_Input[[#This Row],[Energy savings (kWh)]]*Input_AvgkWhRate, "")</f>
        <v/>
      </c>
      <c r="V25" s="206" t="str">
        <f>IF(Table_PrescriptLights_Input[[#This Row],[Unit capacity (tons)]]="", "",Table_PrescriptLights_Input[[#This Row],[Total equipment + labor cost]])</f>
        <v/>
      </c>
      <c r="W25" s="206" t="str">
        <f>IFERROR(Table_PrescriptLights_Input[[#This Row],[Gross measure cost]]-Table_PrescriptLights_Input[[#This Row],[Estimated incentive]], "")</f>
        <v/>
      </c>
      <c r="X25" s="207" t="str">
        <f t="shared" si="0"/>
        <v/>
      </c>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row>
    <row r="26" spans="1:52" ht="15" x14ac:dyDescent="0.2">
      <c r="A26" s="170"/>
      <c r="B26" s="174">
        <v>21</v>
      </c>
      <c r="C26" s="175" t="str">
        <f>IFERROR(INDEX(Table_Prescript_Meas[Measure Number], MATCH(E26, Table_Prescript_Meas[Measure Description], 0)), "")</f>
        <v/>
      </c>
      <c r="D26" s="209"/>
      <c r="E26" s="210"/>
      <c r="F26" s="175" t="str">
        <f>IFERROR(INDEX(Table_Prescript_Meas[Units], MATCH(Table_PrescriptLights_Input[[#This Row],[Measure number]], Table_Prescript_Meas[Measure Number], 0)), "")</f>
        <v/>
      </c>
      <c r="G26" s="215"/>
      <c r="H26" s="216"/>
      <c r="I26" s="216"/>
      <c r="J26"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6"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6" s="215"/>
      <c r="M26" s="215"/>
      <c r="N26" s="217"/>
      <c r="O26" s="217"/>
      <c r="P26" s="218"/>
      <c r="Q26"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6" s="206" t="str">
        <f>IF(Table_PrescriptLights_Input[[#This Row],[Unit capacity (tons)]]="","",IFERROR(Table_PrescriptLights_Input[[#This Row],[Per-unit incentive]],""))</f>
        <v/>
      </c>
      <c r="S26"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6"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6" s="206" t="str">
        <f>IFERROR(Table_PrescriptLights_Input[[#This Row],[Energy savings (kWh)]]*Input_AvgkWhRate, "")</f>
        <v/>
      </c>
      <c r="V26" s="206" t="str">
        <f>IF(Table_PrescriptLights_Input[[#This Row],[Unit capacity (tons)]]="", "",Table_PrescriptLights_Input[[#This Row],[Total equipment + labor cost]])</f>
        <v/>
      </c>
      <c r="W26" s="206" t="str">
        <f>IFERROR(Table_PrescriptLights_Input[[#This Row],[Gross measure cost]]-Table_PrescriptLights_Input[[#This Row],[Estimated incentive]], "")</f>
        <v/>
      </c>
      <c r="X26" s="207" t="str">
        <f t="shared" si="0"/>
        <v/>
      </c>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row>
    <row r="27" spans="1:52" ht="15" x14ac:dyDescent="0.2">
      <c r="A27" s="170"/>
      <c r="B27" s="174">
        <v>22</v>
      </c>
      <c r="C27" s="175" t="str">
        <f>IFERROR(INDEX(Table_Prescript_Meas[Measure Number], MATCH(E27, Table_Prescript_Meas[Measure Description], 0)), "")</f>
        <v/>
      </c>
      <c r="D27" s="209"/>
      <c r="E27" s="210"/>
      <c r="F27" s="175" t="str">
        <f>IFERROR(INDEX(Table_Prescript_Meas[Units], MATCH(Table_PrescriptLights_Input[[#This Row],[Measure number]], Table_Prescript_Meas[Measure Number], 0)), "")</f>
        <v/>
      </c>
      <c r="G27" s="215"/>
      <c r="H27" s="216"/>
      <c r="I27" s="216"/>
      <c r="J27"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7"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7" s="215"/>
      <c r="M27" s="215"/>
      <c r="N27" s="217"/>
      <c r="O27" s="217"/>
      <c r="P27" s="218"/>
      <c r="Q27"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7" s="206" t="str">
        <f>IF(Table_PrescriptLights_Input[[#This Row],[Unit capacity (tons)]]="","",IFERROR(Table_PrescriptLights_Input[[#This Row],[Per-unit incentive]],""))</f>
        <v/>
      </c>
      <c r="S27"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7"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7" s="206" t="str">
        <f>IFERROR(Table_PrescriptLights_Input[[#This Row],[Energy savings (kWh)]]*Input_AvgkWhRate, "")</f>
        <v/>
      </c>
      <c r="V27" s="206" t="str">
        <f>IF(Table_PrescriptLights_Input[[#This Row],[Unit capacity (tons)]]="", "",Table_PrescriptLights_Input[[#This Row],[Total equipment + labor cost]])</f>
        <v/>
      </c>
      <c r="W27" s="206" t="str">
        <f>IFERROR(Table_PrescriptLights_Input[[#This Row],[Gross measure cost]]-Table_PrescriptLights_Input[[#This Row],[Estimated incentive]], "")</f>
        <v/>
      </c>
      <c r="X27" s="207" t="str">
        <f t="shared" si="0"/>
        <v/>
      </c>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c r="AW27" s="170"/>
      <c r="AX27" s="170"/>
      <c r="AY27" s="170"/>
      <c r="AZ27" s="170"/>
    </row>
    <row r="28" spans="1:52" ht="15" x14ac:dyDescent="0.2">
      <c r="A28" s="170"/>
      <c r="B28" s="174">
        <v>23</v>
      </c>
      <c r="C28" s="175" t="str">
        <f>IFERROR(INDEX(Table_Prescript_Meas[Measure Number], MATCH(E28, Table_Prescript_Meas[Measure Description], 0)), "")</f>
        <v/>
      </c>
      <c r="D28" s="209"/>
      <c r="E28" s="210"/>
      <c r="F28" s="175" t="str">
        <f>IFERROR(INDEX(Table_Prescript_Meas[Units], MATCH(Table_PrescriptLights_Input[[#This Row],[Measure number]], Table_Prescript_Meas[Measure Number], 0)), "")</f>
        <v/>
      </c>
      <c r="G28" s="215"/>
      <c r="H28" s="216"/>
      <c r="I28" s="216"/>
      <c r="J28"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8"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8" s="215"/>
      <c r="M28" s="215"/>
      <c r="N28" s="217"/>
      <c r="O28" s="217"/>
      <c r="P28" s="218"/>
      <c r="Q28"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8" s="206" t="str">
        <f>IF(Table_PrescriptLights_Input[[#This Row],[Unit capacity (tons)]]="","",IFERROR(Table_PrescriptLights_Input[[#This Row],[Per-unit incentive]],""))</f>
        <v/>
      </c>
      <c r="S28"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8"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8" s="206" t="str">
        <f>IFERROR(Table_PrescriptLights_Input[[#This Row],[Energy savings (kWh)]]*Input_AvgkWhRate, "")</f>
        <v/>
      </c>
      <c r="V28" s="206" t="str">
        <f>IF(Table_PrescriptLights_Input[[#This Row],[Unit capacity (tons)]]="", "",Table_PrescriptLights_Input[[#This Row],[Total equipment + labor cost]])</f>
        <v/>
      </c>
      <c r="W28" s="206" t="str">
        <f>IFERROR(Table_PrescriptLights_Input[[#This Row],[Gross measure cost]]-Table_PrescriptLights_Input[[#This Row],[Estimated incentive]], "")</f>
        <v/>
      </c>
      <c r="X28" s="207" t="str">
        <f t="shared" si="0"/>
        <v/>
      </c>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c r="AZ28" s="170"/>
    </row>
    <row r="29" spans="1:52" ht="15" x14ac:dyDescent="0.2">
      <c r="A29" s="170"/>
      <c r="B29" s="174">
        <v>24</v>
      </c>
      <c r="C29" s="175" t="str">
        <f>IFERROR(INDEX(Table_Prescript_Meas[Measure Number], MATCH(E29, Table_Prescript_Meas[Measure Description], 0)), "")</f>
        <v/>
      </c>
      <c r="D29" s="209"/>
      <c r="E29" s="210"/>
      <c r="F29" s="175" t="str">
        <f>IFERROR(INDEX(Table_Prescript_Meas[Units], MATCH(Table_PrescriptLights_Input[[#This Row],[Measure number]], Table_Prescript_Meas[Measure Number], 0)), "")</f>
        <v/>
      </c>
      <c r="G29" s="215"/>
      <c r="H29" s="216"/>
      <c r="I29" s="216"/>
      <c r="J29"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29"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29" s="215"/>
      <c r="M29" s="215"/>
      <c r="N29" s="217"/>
      <c r="O29" s="217"/>
      <c r="P29" s="218"/>
      <c r="Q29"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29" s="206" t="str">
        <f>IF(Table_PrescriptLights_Input[[#This Row],[Unit capacity (tons)]]="","",IFERROR(Table_PrescriptLights_Input[[#This Row],[Per-unit incentive]],""))</f>
        <v/>
      </c>
      <c r="S29"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29"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29" s="206" t="str">
        <f>IFERROR(Table_PrescriptLights_Input[[#This Row],[Energy savings (kWh)]]*Input_AvgkWhRate, "")</f>
        <v/>
      </c>
      <c r="V29" s="206" t="str">
        <f>IF(Table_PrescriptLights_Input[[#This Row],[Unit capacity (tons)]]="", "",Table_PrescriptLights_Input[[#This Row],[Total equipment + labor cost]])</f>
        <v/>
      </c>
      <c r="W29" s="206" t="str">
        <f>IFERROR(Table_PrescriptLights_Input[[#This Row],[Gross measure cost]]-Table_PrescriptLights_Input[[#This Row],[Estimated incentive]], "")</f>
        <v/>
      </c>
      <c r="X29" s="207" t="str">
        <f t="shared" si="0"/>
        <v/>
      </c>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row>
    <row r="30" spans="1:52" ht="15" x14ac:dyDescent="0.2">
      <c r="A30" s="170"/>
      <c r="B30" s="174">
        <v>25</v>
      </c>
      <c r="C30" s="175" t="str">
        <f>IFERROR(INDEX(Table_Prescript_Meas[Measure Number], MATCH(E30, Table_Prescript_Meas[Measure Description], 0)), "")</f>
        <v/>
      </c>
      <c r="D30" s="209"/>
      <c r="E30" s="210"/>
      <c r="F30" s="175" t="str">
        <f>IFERROR(INDEX(Table_Prescript_Meas[Units], MATCH(Table_PrescriptLights_Input[[#This Row],[Measure number]], Table_Prescript_Meas[Measure Number], 0)), "")</f>
        <v/>
      </c>
      <c r="G30" s="215"/>
      <c r="H30" s="216"/>
      <c r="I30" s="216"/>
      <c r="J30"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0"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0" s="215"/>
      <c r="M30" s="215"/>
      <c r="N30" s="217"/>
      <c r="O30" s="217"/>
      <c r="P30" s="218"/>
      <c r="Q30"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0" s="206" t="str">
        <f>IF(Table_PrescriptLights_Input[[#This Row],[Unit capacity (tons)]]="","",IFERROR(Table_PrescriptLights_Input[[#This Row],[Per-unit incentive]],""))</f>
        <v/>
      </c>
      <c r="S30"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0"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0" s="206" t="str">
        <f>IFERROR(Table_PrescriptLights_Input[[#This Row],[Energy savings (kWh)]]*Input_AvgkWhRate, "")</f>
        <v/>
      </c>
      <c r="V30" s="206" t="str">
        <f>IF(Table_PrescriptLights_Input[[#This Row],[Unit capacity (tons)]]="", "",Table_PrescriptLights_Input[[#This Row],[Total equipment + labor cost]])</f>
        <v/>
      </c>
      <c r="W30" s="206" t="str">
        <f>IFERROR(Table_PrescriptLights_Input[[#This Row],[Gross measure cost]]-Table_PrescriptLights_Input[[#This Row],[Estimated incentive]], "")</f>
        <v/>
      </c>
      <c r="X30" s="207" t="str">
        <f t="shared" si="0"/>
        <v/>
      </c>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c r="AW30" s="170"/>
      <c r="AX30" s="170"/>
      <c r="AY30" s="170"/>
      <c r="AZ30" s="170"/>
    </row>
    <row r="31" spans="1:52" ht="15" x14ac:dyDescent="0.2">
      <c r="A31" s="170"/>
      <c r="B31" s="174">
        <v>26</v>
      </c>
      <c r="C31" s="175" t="str">
        <f>IFERROR(INDEX(Table_Prescript_Meas[Measure Number], MATCH(E31, Table_Prescript_Meas[Measure Description], 0)), "")</f>
        <v/>
      </c>
      <c r="D31" s="209"/>
      <c r="E31" s="210"/>
      <c r="F31" s="175" t="str">
        <f>IFERROR(INDEX(Table_Prescript_Meas[Units], MATCH(Table_PrescriptLights_Input[[#This Row],[Measure number]], Table_Prescript_Meas[Measure Number], 0)), "")</f>
        <v/>
      </c>
      <c r="G31" s="215"/>
      <c r="H31" s="216"/>
      <c r="I31" s="216"/>
      <c r="J31"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1"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1" s="215"/>
      <c r="M31" s="215"/>
      <c r="N31" s="217"/>
      <c r="O31" s="217"/>
      <c r="P31" s="218"/>
      <c r="Q31"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1" s="206" t="str">
        <f>IF(Table_PrescriptLights_Input[[#This Row],[Unit capacity (tons)]]="","",IFERROR(Table_PrescriptLights_Input[[#This Row],[Per-unit incentive]],""))</f>
        <v/>
      </c>
      <c r="S31"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1"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1" s="206" t="str">
        <f>IFERROR(Table_PrescriptLights_Input[[#This Row],[Energy savings (kWh)]]*Input_AvgkWhRate, "")</f>
        <v/>
      </c>
      <c r="V31" s="206" t="str">
        <f>IF(Table_PrescriptLights_Input[[#This Row],[Unit capacity (tons)]]="", "",Table_PrescriptLights_Input[[#This Row],[Total equipment + labor cost]])</f>
        <v/>
      </c>
      <c r="W31" s="206" t="str">
        <f>IFERROR(Table_PrescriptLights_Input[[#This Row],[Gross measure cost]]-Table_PrescriptLights_Input[[#This Row],[Estimated incentive]], "")</f>
        <v/>
      </c>
      <c r="X31" s="207" t="str">
        <f t="shared" si="0"/>
        <v/>
      </c>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c r="AW31" s="170"/>
      <c r="AX31" s="170"/>
      <c r="AY31" s="170"/>
      <c r="AZ31" s="170"/>
    </row>
    <row r="32" spans="1:52" ht="15" x14ac:dyDescent="0.2">
      <c r="A32" s="163"/>
      <c r="B32" s="174">
        <v>27</v>
      </c>
      <c r="C32" s="175" t="str">
        <f>IFERROR(INDEX(Table_Prescript_Meas[Measure Number], MATCH(E32, Table_Prescript_Meas[Measure Description], 0)), "")</f>
        <v/>
      </c>
      <c r="D32" s="209"/>
      <c r="E32" s="210"/>
      <c r="F32" s="175" t="str">
        <f>IFERROR(INDEX(Table_Prescript_Meas[Units], MATCH(Table_PrescriptLights_Input[[#This Row],[Measure number]], Table_Prescript_Meas[Measure Number], 0)), "")</f>
        <v/>
      </c>
      <c r="G32" s="215"/>
      <c r="H32" s="216"/>
      <c r="I32" s="216"/>
      <c r="J32"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2"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2" s="215"/>
      <c r="M32" s="215"/>
      <c r="N32" s="217"/>
      <c r="O32" s="217"/>
      <c r="P32" s="218"/>
      <c r="Q32"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2" s="206" t="str">
        <f>IF(Table_PrescriptLights_Input[[#This Row],[Unit capacity (tons)]]="","",IFERROR(Table_PrescriptLights_Input[[#This Row],[Per-unit incentive]],""))</f>
        <v/>
      </c>
      <c r="S32"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2"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2" s="206" t="str">
        <f>IFERROR(Table_PrescriptLights_Input[[#This Row],[Energy savings (kWh)]]*Input_AvgkWhRate, "")</f>
        <v/>
      </c>
      <c r="V32" s="206" t="str">
        <f>IF(Table_PrescriptLights_Input[[#This Row],[Unit capacity (tons)]]="", "",Table_PrescriptLights_Input[[#This Row],[Total equipment + labor cost]])</f>
        <v/>
      </c>
      <c r="W32" s="206" t="str">
        <f>IFERROR(Table_PrescriptLights_Input[[#This Row],[Gross measure cost]]-Table_PrescriptLights_Input[[#This Row],[Estimated incentive]], "")</f>
        <v/>
      </c>
      <c r="X32" s="207" t="str">
        <f t="shared" si="0"/>
        <v/>
      </c>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row>
    <row r="33" spans="1:52" ht="15" x14ac:dyDescent="0.2">
      <c r="A33" s="163"/>
      <c r="B33" s="174">
        <v>28</v>
      </c>
      <c r="C33" s="175" t="str">
        <f>IFERROR(INDEX(Table_Prescript_Meas[Measure Number], MATCH(E33, Table_Prescript_Meas[Measure Description], 0)), "")</f>
        <v/>
      </c>
      <c r="D33" s="209"/>
      <c r="E33" s="210"/>
      <c r="F33" s="175" t="str">
        <f>IFERROR(INDEX(Table_Prescript_Meas[Units], MATCH(Table_PrescriptLights_Input[[#This Row],[Measure number]], Table_Prescript_Meas[Measure Number], 0)), "")</f>
        <v/>
      </c>
      <c r="G33" s="215"/>
      <c r="H33" s="216"/>
      <c r="I33" s="216"/>
      <c r="J33"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3"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3" s="215"/>
      <c r="M33" s="215"/>
      <c r="N33" s="217"/>
      <c r="O33" s="217"/>
      <c r="P33" s="218"/>
      <c r="Q33"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3" s="206" t="str">
        <f>IF(Table_PrescriptLights_Input[[#This Row],[Unit capacity (tons)]]="","",IFERROR(Table_PrescriptLights_Input[[#This Row],[Per-unit incentive]],""))</f>
        <v/>
      </c>
      <c r="S33"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3"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3" s="206" t="str">
        <f>IFERROR(Table_PrescriptLights_Input[[#This Row],[Energy savings (kWh)]]*Input_AvgkWhRate, "")</f>
        <v/>
      </c>
      <c r="V33" s="206" t="str">
        <f>IF(Table_PrescriptLights_Input[[#This Row],[Unit capacity (tons)]]="", "",Table_PrescriptLights_Input[[#This Row],[Total equipment + labor cost]])</f>
        <v/>
      </c>
      <c r="W33" s="206" t="str">
        <f>IFERROR(Table_PrescriptLights_Input[[#This Row],[Gross measure cost]]-Table_PrescriptLights_Input[[#This Row],[Estimated incentive]], "")</f>
        <v/>
      </c>
      <c r="X33" s="207" t="str">
        <f t="shared" si="0"/>
        <v/>
      </c>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row>
    <row r="34" spans="1:52" ht="15" x14ac:dyDescent="0.2">
      <c r="A34" s="163"/>
      <c r="B34" s="174">
        <v>29</v>
      </c>
      <c r="C34" s="175" t="str">
        <f>IFERROR(INDEX(Table_Prescript_Meas[Measure Number], MATCH(E34, Table_Prescript_Meas[Measure Description], 0)), "")</f>
        <v/>
      </c>
      <c r="D34" s="209"/>
      <c r="E34" s="210"/>
      <c r="F34" s="175" t="str">
        <f>IFERROR(INDEX(Table_Prescript_Meas[Units], MATCH(Table_PrescriptLights_Input[[#This Row],[Measure number]], Table_Prescript_Meas[Measure Number], 0)), "")</f>
        <v/>
      </c>
      <c r="G34" s="215"/>
      <c r="H34" s="216"/>
      <c r="I34" s="216"/>
      <c r="J34"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4"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4" s="215"/>
      <c r="M34" s="215"/>
      <c r="N34" s="217"/>
      <c r="O34" s="217"/>
      <c r="P34" s="218"/>
      <c r="Q34"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4" s="206" t="str">
        <f>IF(Table_PrescriptLights_Input[[#This Row],[Unit capacity (tons)]]="","",IFERROR(Table_PrescriptLights_Input[[#This Row],[Per-unit incentive]],""))</f>
        <v/>
      </c>
      <c r="S34"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4"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4" s="206" t="str">
        <f>IFERROR(Table_PrescriptLights_Input[[#This Row],[Energy savings (kWh)]]*Input_AvgkWhRate, "")</f>
        <v/>
      </c>
      <c r="V34" s="206" t="str">
        <f>IF(Table_PrescriptLights_Input[[#This Row],[Unit capacity (tons)]]="", "",Table_PrescriptLights_Input[[#This Row],[Total equipment + labor cost]])</f>
        <v/>
      </c>
      <c r="W34" s="206" t="str">
        <f>IFERROR(Table_PrescriptLights_Input[[#This Row],[Gross measure cost]]-Table_PrescriptLights_Input[[#This Row],[Estimated incentive]], "")</f>
        <v/>
      </c>
      <c r="X34" s="207" t="str">
        <f t="shared" si="0"/>
        <v/>
      </c>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row>
    <row r="35" spans="1:52" ht="15" x14ac:dyDescent="0.2">
      <c r="A35" s="163"/>
      <c r="B35" s="174">
        <v>30</v>
      </c>
      <c r="C35" s="175" t="str">
        <f>IFERROR(INDEX(Table_Prescript_Meas[Measure Number], MATCH(E35, Table_Prescript_Meas[Measure Description], 0)), "")</f>
        <v/>
      </c>
      <c r="D35" s="209"/>
      <c r="E35" s="210"/>
      <c r="F35" s="175" t="str">
        <f>IFERROR(INDEX(Table_Prescript_Meas[Units], MATCH(Table_PrescriptLights_Input[[#This Row],[Measure number]], Table_Prescript_Meas[Measure Number], 0)), "")</f>
        <v/>
      </c>
      <c r="G35" s="215"/>
      <c r="H35" s="216"/>
      <c r="I35" s="216"/>
      <c r="J35"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5"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5" s="215"/>
      <c r="M35" s="215"/>
      <c r="N35" s="217"/>
      <c r="O35" s="217"/>
      <c r="P35" s="218"/>
      <c r="Q35"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5" s="206" t="str">
        <f>IF(Table_PrescriptLights_Input[[#This Row],[Unit capacity (tons)]]="","",IFERROR(Table_PrescriptLights_Input[[#This Row],[Per-unit incentive]],""))</f>
        <v/>
      </c>
      <c r="S35"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5"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5" s="206" t="str">
        <f>IFERROR(Table_PrescriptLights_Input[[#This Row],[Energy savings (kWh)]]*Input_AvgkWhRate, "")</f>
        <v/>
      </c>
      <c r="V35" s="206" t="str">
        <f>IF(Table_PrescriptLights_Input[[#This Row],[Unit capacity (tons)]]="", "",Table_PrescriptLights_Input[[#This Row],[Total equipment + labor cost]])</f>
        <v/>
      </c>
      <c r="W35" s="206" t="str">
        <f>IFERROR(Table_PrescriptLights_Input[[#This Row],[Gross measure cost]]-Table_PrescriptLights_Input[[#This Row],[Estimated incentive]], "")</f>
        <v/>
      </c>
      <c r="X35" s="207" t="str">
        <f t="shared" si="0"/>
        <v/>
      </c>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row>
    <row r="36" spans="1:52" ht="15" x14ac:dyDescent="0.2">
      <c r="A36" s="163"/>
      <c r="B36" s="174">
        <v>31</v>
      </c>
      <c r="C36" s="175" t="str">
        <f>IFERROR(INDEX(Table_Prescript_Meas[Measure Number], MATCH(E36, Table_Prescript_Meas[Measure Description], 0)), "")</f>
        <v/>
      </c>
      <c r="D36" s="209"/>
      <c r="E36" s="210"/>
      <c r="F36" s="175" t="str">
        <f>IFERROR(INDEX(Table_Prescript_Meas[Units], MATCH(Table_PrescriptLights_Input[[#This Row],[Measure number]], Table_Prescript_Meas[Measure Number], 0)), "")</f>
        <v/>
      </c>
      <c r="G36" s="215"/>
      <c r="H36" s="216"/>
      <c r="I36" s="216"/>
      <c r="J36"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6"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6" s="215"/>
      <c r="M36" s="215"/>
      <c r="N36" s="217"/>
      <c r="O36" s="217"/>
      <c r="P36" s="218"/>
      <c r="Q36"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6" s="206" t="str">
        <f>IF(Table_PrescriptLights_Input[[#This Row],[Unit capacity (tons)]]="","",IFERROR(Table_PrescriptLights_Input[[#This Row],[Per-unit incentive]],""))</f>
        <v/>
      </c>
      <c r="S36"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6"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6" s="206" t="str">
        <f>IFERROR(Table_PrescriptLights_Input[[#This Row],[Energy savings (kWh)]]*Input_AvgkWhRate, "")</f>
        <v/>
      </c>
      <c r="V36" s="206" t="str">
        <f>IF(Table_PrescriptLights_Input[[#This Row],[Unit capacity (tons)]]="", "",Table_PrescriptLights_Input[[#This Row],[Total equipment + labor cost]])</f>
        <v/>
      </c>
      <c r="W36" s="206" t="str">
        <f>IFERROR(Table_PrescriptLights_Input[[#This Row],[Gross measure cost]]-Table_PrescriptLights_Input[[#This Row],[Estimated incentive]], "")</f>
        <v/>
      </c>
      <c r="X36" s="207" t="str">
        <f t="shared" si="0"/>
        <v/>
      </c>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163"/>
      <c r="AZ36" s="163"/>
    </row>
    <row r="37" spans="1:52" ht="15" x14ac:dyDescent="0.2">
      <c r="A37" s="163"/>
      <c r="B37" s="174">
        <v>32</v>
      </c>
      <c r="C37" s="175" t="str">
        <f>IFERROR(INDEX(Table_Prescript_Meas[Measure Number], MATCH(E37, Table_Prescript_Meas[Measure Description], 0)), "")</f>
        <v/>
      </c>
      <c r="D37" s="209"/>
      <c r="E37" s="210"/>
      <c r="F37" s="175" t="str">
        <f>IFERROR(INDEX(Table_Prescript_Meas[Units], MATCH(Table_PrescriptLights_Input[[#This Row],[Measure number]], Table_Prescript_Meas[Measure Number], 0)), "")</f>
        <v/>
      </c>
      <c r="G37" s="215"/>
      <c r="H37" s="216"/>
      <c r="I37" s="216"/>
      <c r="J37"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7"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7" s="215"/>
      <c r="M37" s="215"/>
      <c r="N37" s="217"/>
      <c r="O37" s="217"/>
      <c r="P37" s="218"/>
      <c r="Q37"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7" s="206" t="str">
        <f>IF(Table_PrescriptLights_Input[[#This Row],[Unit capacity (tons)]]="","",IFERROR(Table_PrescriptLights_Input[[#This Row],[Per-unit incentive]],""))</f>
        <v/>
      </c>
      <c r="S37"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7"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7" s="206" t="str">
        <f>IFERROR(Table_PrescriptLights_Input[[#This Row],[Energy savings (kWh)]]*Input_AvgkWhRate, "")</f>
        <v/>
      </c>
      <c r="V37" s="206" t="str">
        <f>IF(Table_PrescriptLights_Input[[#This Row],[Unit capacity (tons)]]="", "",Table_PrescriptLights_Input[[#This Row],[Total equipment + labor cost]])</f>
        <v/>
      </c>
      <c r="W37" s="206" t="str">
        <f>IFERROR(Table_PrescriptLights_Input[[#This Row],[Gross measure cost]]-Table_PrescriptLights_Input[[#This Row],[Estimated incentive]], "")</f>
        <v/>
      </c>
      <c r="X37" s="207" t="str">
        <f t="shared" si="0"/>
        <v/>
      </c>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3"/>
      <c r="AY37" s="163"/>
      <c r="AZ37" s="163"/>
    </row>
    <row r="38" spans="1:52" ht="15" x14ac:dyDescent="0.2">
      <c r="A38" s="163"/>
      <c r="B38" s="174">
        <v>33</v>
      </c>
      <c r="C38" s="175" t="str">
        <f>IFERROR(INDEX(Table_Prescript_Meas[Measure Number], MATCH(E38, Table_Prescript_Meas[Measure Description], 0)), "")</f>
        <v/>
      </c>
      <c r="D38" s="209"/>
      <c r="E38" s="210"/>
      <c r="F38" s="175" t="str">
        <f>IFERROR(INDEX(Table_Prescript_Meas[Units], MATCH(Table_PrescriptLights_Input[[#This Row],[Measure number]], Table_Prescript_Meas[Measure Number], 0)), "")</f>
        <v/>
      </c>
      <c r="G38" s="215"/>
      <c r="H38" s="216"/>
      <c r="I38" s="216"/>
      <c r="J38"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8"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8" s="215"/>
      <c r="M38" s="215"/>
      <c r="N38" s="217"/>
      <c r="O38" s="217"/>
      <c r="P38" s="218"/>
      <c r="Q38"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8" s="206" t="str">
        <f>IF(Table_PrescriptLights_Input[[#This Row],[Unit capacity (tons)]]="","",IFERROR(Table_PrescriptLights_Input[[#This Row],[Per-unit incentive]],""))</f>
        <v/>
      </c>
      <c r="S38"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8"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8" s="206" t="str">
        <f>IFERROR(Table_PrescriptLights_Input[[#This Row],[Energy savings (kWh)]]*Input_AvgkWhRate, "")</f>
        <v/>
      </c>
      <c r="V38" s="206" t="str">
        <f>IF(Table_PrescriptLights_Input[[#This Row],[Unit capacity (tons)]]="", "",Table_PrescriptLights_Input[[#This Row],[Total equipment + labor cost]])</f>
        <v/>
      </c>
      <c r="W38" s="206" t="str">
        <f>IFERROR(Table_PrescriptLights_Input[[#This Row],[Gross measure cost]]-Table_PrescriptLights_Input[[#This Row],[Estimated incentive]], "")</f>
        <v/>
      </c>
      <c r="X38" s="207" t="str">
        <f t="shared" si="0"/>
        <v/>
      </c>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163"/>
    </row>
    <row r="39" spans="1:52" ht="15" x14ac:dyDescent="0.2">
      <c r="A39" s="163"/>
      <c r="B39" s="174">
        <v>34</v>
      </c>
      <c r="C39" s="175" t="str">
        <f>IFERROR(INDEX(Table_Prescript_Meas[Measure Number], MATCH(E39, Table_Prescript_Meas[Measure Description], 0)), "")</f>
        <v/>
      </c>
      <c r="D39" s="209"/>
      <c r="E39" s="210"/>
      <c r="F39" s="175" t="str">
        <f>IFERROR(INDEX(Table_Prescript_Meas[Units], MATCH(Table_PrescriptLights_Input[[#This Row],[Measure number]], Table_Prescript_Meas[Measure Number], 0)), "")</f>
        <v/>
      </c>
      <c r="G39" s="215"/>
      <c r="H39" s="216"/>
      <c r="I39" s="216"/>
      <c r="J39"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39"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39" s="215"/>
      <c r="M39" s="215"/>
      <c r="N39" s="217"/>
      <c r="O39" s="217"/>
      <c r="P39" s="218"/>
      <c r="Q39"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39" s="206" t="str">
        <f>IF(Table_PrescriptLights_Input[[#This Row],[Unit capacity (tons)]]="","",IFERROR(Table_PrescriptLights_Input[[#This Row],[Per-unit incentive]],""))</f>
        <v/>
      </c>
      <c r="S39"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39"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39" s="206" t="str">
        <f>IFERROR(Table_PrescriptLights_Input[[#This Row],[Energy savings (kWh)]]*Input_AvgkWhRate, "")</f>
        <v/>
      </c>
      <c r="V39" s="206" t="str">
        <f>IF(Table_PrescriptLights_Input[[#This Row],[Unit capacity (tons)]]="", "",Table_PrescriptLights_Input[[#This Row],[Total equipment + labor cost]])</f>
        <v/>
      </c>
      <c r="W39" s="206" t="str">
        <f>IFERROR(Table_PrescriptLights_Input[[#This Row],[Gross measure cost]]-Table_PrescriptLights_Input[[#This Row],[Estimated incentive]], "")</f>
        <v/>
      </c>
      <c r="X39" s="207" t="str">
        <f t="shared" si="0"/>
        <v/>
      </c>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row>
    <row r="40" spans="1:52" ht="15" x14ac:dyDescent="0.2">
      <c r="A40" s="163"/>
      <c r="B40" s="174">
        <v>35</v>
      </c>
      <c r="C40" s="175" t="str">
        <f>IFERROR(INDEX(Table_Prescript_Meas[Measure Number], MATCH(E40, Table_Prescript_Meas[Measure Description], 0)), "")</f>
        <v/>
      </c>
      <c r="D40" s="209"/>
      <c r="E40" s="210"/>
      <c r="F40" s="175" t="str">
        <f>IFERROR(INDEX(Table_Prescript_Meas[Units], MATCH(Table_PrescriptLights_Input[[#This Row],[Measure number]], Table_Prescript_Meas[Measure Number], 0)), "")</f>
        <v/>
      </c>
      <c r="G40" s="215"/>
      <c r="H40" s="216"/>
      <c r="I40" s="216"/>
      <c r="J40"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0"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0" s="215"/>
      <c r="M40" s="215"/>
      <c r="N40" s="217"/>
      <c r="O40" s="217"/>
      <c r="P40" s="218"/>
      <c r="Q40"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0" s="206" t="str">
        <f>IF(Table_PrescriptLights_Input[[#This Row],[Unit capacity (tons)]]="","",IFERROR(Table_PrescriptLights_Input[[#This Row],[Per-unit incentive]],""))</f>
        <v/>
      </c>
      <c r="S40"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0"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0" s="206" t="str">
        <f>IFERROR(Table_PrescriptLights_Input[[#This Row],[Energy savings (kWh)]]*Input_AvgkWhRate, "")</f>
        <v/>
      </c>
      <c r="V40" s="206" t="str">
        <f>IF(Table_PrescriptLights_Input[[#This Row],[Unit capacity (tons)]]="", "",Table_PrescriptLights_Input[[#This Row],[Total equipment + labor cost]])</f>
        <v/>
      </c>
      <c r="W40" s="206" t="str">
        <f>IFERROR(Table_PrescriptLights_Input[[#This Row],[Gross measure cost]]-Table_PrescriptLights_Input[[#This Row],[Estimated incentive]], "")</f>
        <v/>
      </c>
      <c r="X40" s="207" t="str">
        <f t="shared" si="0"/>
        <v/>
      </c>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row>
    <row r="41" spans="1:52" ht="15" x14ac:dyDescent="0.2">
      <c r="A41" s="163"/>
      <c r="B41" s="174">
        <v>36</v>
      </c>
      <c r="C41" s="175" t="str">
        <f>IFERROR(INDEX(Table_Prescript_Meas[Measure Number], MATCH(E41, Table_Prescript_Meas[Measure Description], 0)), "")</f>
        <v/>
      </c>
      <c r="D41" s="209"/>
      <c r="E41" s="210"/>
      <c r="F41" s="175" t="str">
        <f>IFERROR(INDEX(Table_Prescript_Meas[Units], MATCH(Table_PrescriptLights_Input[[#This Row],[Measure number]], Table_Prescript_Meas[Measure Number], 0)), "")</f>
        <v/>
      </c>
      <c r="G41" s="215"/>
      <c r="H41" s="216"/>
      <c r="I41" s="216"/>
      <c r="J41"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1"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1" s="215"/>
      <c r="M41" s="215"/>
      <c r="N41" s="217"/>
      <c r="O41" s="217"/>
      <c r="P41" s="218"/>
      <c r="Q41"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1" s="206" t="str">
        <f>IF(Table_PrescriptLights_Input[[#This Row],[Unit capacity (tons)]]="","",IFERROR(Table_PrescriptLights_Input[[#This Row],[Per-unit incentive]],""))</f>
        <v/>
      </c>
      <c r="S41"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1"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1" s="206" t="str">
        <f>IFERROR(Table_PrescriptLights_Input[[#This Row],[Energy savings (kWh)]]*Input_AvgkWhRate, "")</f>
        <v/>
      </c>
      <c r="V41" s="206" t="str">
        <f>IF(Table_PrescriptLights_Input[[#This Row],[Unit capacity (tons)]]="", "",Table_PrescriptLights_Input[[#This Row],[Total equipment + labor cost]])</f>
        <v/>
      </c>
      <c r="W41" s="206" t="str">
        <f>IFERROR(Table_PrescriptLights_Input[[#This Row],[Gross measure cost]]-Table_PrescriptLights_Input[[#This Row],[Estimated incentive]], "")</f>
        <v/>
      </c>
      <c r="X41" s="207" t="str">
        <f t="shared" si="0"/>
        <v/>
      </c>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row>
    <row r="42" spans="1:52" ht="15" x14ac:dyDescent="0.2">
      <c r="A42" s="163"/>
      <c r="B42" s="174">
        <v>37</v>
      </c>
      <c r="C42" s="175" t="str">
        <f>IFERROR(INDEX(Table_Prescript_Meas[Measure Number], MATCH(E42, Table_Prescript_Meas[Measure Description], 0)), "")</f>
        <v/>
      </c>
      <c r="D42" s="209"/>
      <c r="E42" s="210"/>
      <c r="F42" s="175" t="str">
        <f>IFERROR(INDEX(Table_Prescript_Meas[Units], MATCH(Table_PrescriptLights_Input[[#This Row],[Measure number]], Table_Prescript_Meas[Measure Number], 0)), "")</f>
        <v/>
      </c>
      <c r="G42" s="215"/>
      <c r="H42" s="216"/>
      <c r="I42" s="216"/>
      <c r="J42"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2"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2" s="215"/>
      <c r="M42" s="215"/>
      <c r="N42" s="217"/>
      <c r="O42" s="217"/>
      <c r="P42" s="218"/>
      <c r="Q42"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2" s="206" t="str">
        <f>IF(Table_PrescriptLights_Input[[#This Row],[Unit capacity (tons)]]="","",IFERROR(Table_PrescriptLights_Input[[#This Row],[Per-unit incentive]],""))</f>
        <v/>
      </c>
      <c r="S42"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2"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2" s="206" t="str">
        <f>IFERROR(Table_PrescriptLights_Input[[#This Row],[Energy savings (kWh)]]*Input_AvgkWhRate, "")</f>
        <v/>
      </c>
      <c r="V42" s="206" t="str">
        <f>IF(Table_PrescriptLights_Input[[#This Row],[Unit capacity (tons)]]="", "",Table_PrescriptLights_Input[[#This Row],[Total equipment + labor cost]])</f>
        <v/>
      </c>
      <c r="W42" s="206" t="str">
        <f>IFERROR(Table_PrescriptLights_Input[[#This Row],[Gross measure cost]]-Table_PrescriptLights_Input[[#This Row],[Estimated incentive]], "")</f>
        <v/>
      </c>
      <c r="X42" s="207" t="str">
        <f t="shared" si="0"/>
        <v/>
      </c>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row>
    <row r="43" spans="1:52" ht="15" x14ac:dyDescent="0.2">
      <c r="A43" s="163"/>
      <c r="B43" s="174">
        <v>38</v>
      </c>
      <c r="C43" s="175" t="str">
        <f>IFERROR(INDEX(Table_Prescript_Meas[Measure Number], MATCH(E43, Table_Prescript_Meas[Measure Description], 0)), "")</f>
        <v/>
      </c>
      <c r="D43" s="209"/>
      <c r="E43" s="210"/>
      <c r="F43" s="175" t="str">
        <f>IFERROR(INDEX(Table_Prescript_Meas[Units], MATCH(Table_PrescriptLights_Input[[#This Row],[Measure number]], Table_Prescript_Meas[Measure Number], 0)), "")</f>
        <v/>
      </c>
      <c r="G43" s="215"/>
      <c r="H43" s="216"/>
      <c r="I43" s="216"/>
      <c r="J43"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3"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3" s="215"/>
      <c r="M43" s="215"/>
      <c r="N43" s="217"/>
      <c r="O43" s="217"/>
      <c r="P43" s="218"/>
      <c r="Q43"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3" s="206" t="str">
        <f>IF(Table_PrescriptLights_Input[[#This Row],[Unit capacity (tons)]]="","",IFERROR(Table_PrescriptLights_Input[[#This Row],[Per-unit incentive]],""))</f>
        <v/>
      </c>
      <c r="S43"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3"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3" s="206" t="str">
        <f>IFERROR(Table_PrescriptLights_Input[[#This Row],[Energy savings (kWh)]]*Input_AvgkWhRate, "")</f>
        <v/>
      </c>
      <c r="V43" s="206" t="str">
        <f>IF(Table_PrescriptLights_Input[[#This Row],[Unit capacity (tons)]]="", "",Table_PrescriptLights_Input[[#This Row],[Total equipment + labor cost]])</f>
        <v/>
      </c>
      <c r="W43" s="206" t="str">
        <f>IFERROR(Table_PrescriptLights_Input[[#This Row],[Gross measure cost]]-Table_PrescriptLights_Input[[#This Row],[Estimated incentive]], "")</f>
        <v/>
      </c>
      <c r="X43" s="207" t="str">
        <f t="shared" si="0"/>
        <v/>
      </c>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row>
    <row r="44" spans="1:52" ht="15" x14ac:dyDescent="0.2">
      <c r="A44" s="163"/>
      <c r="B44" s="174">
        <v>39</v>
      </c>
      <c r="C44" s="175" t="str">
        <f>IFERROR(INDEX(Table_Prescript_Meas[Measure Number], MATCH(E44, Table_Prescript_Meas[Measure Description], 0)), "")</f>
        <v/>
      </c>
      <c r="D44" s="209"/>
      <c r="E44" s="210"/>
      <c r="F44" s="175" t="str">
        <f>IFERROR(INDEX(Table_Prescript_Meas[Units], MATCH(Table_PrescriptLights_Input[[#This Row],[Measure number]], Table_Prescript_Meas[Measure Number], 0)), "")</f>
        <v/>
      </c>
      <c r="G44" s="215"/>
      <c r="H44" s="216"/>
      <c r="I44" s="216"/>
      <c r="J44"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4"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4" s="215"/>
      <c r="M44" s="215"/>
      <c r="N44" s="217"/>
      <c r="O44" s="217"/>
      <c r="P44" s="218"/>
      <c r="Q44"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4" s="206" t="str">
        <f>IF(Table_PrescriptLights_Input[[#This Row],[Unit capacity (tons)]]="","",IFERROR(Table_PrescriptLights_Input[[#This Row],[Per-unit incentive]],""))</f>
        <v/>
      </c>
      <c r="S44"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4"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4" s="206" t="str">
        <f>IFERROR(Table_PrescriptLights_Input[[#This Row],[Energy savings (kWh)]]*Input_AvgkWhRate, "")</f>
        <v/>
      </c>
      <c r="V44" s="206" t="str">
        <f>IF(Table_PrescriptLights_Input[[#This Row],[Unit capacity (tons)]]="", "",Table_PrescriptLights_Input[[#This Row],[Total equipment + labor cost]])</f>
        <v/>
      </c>
      <c r="W44" s="206" t="str">
        <f>IFERROR(Table_PrescriptLights_Input[[#This Row],[Gross measure cost]]-Table_PrescriptLights_Input[[#This Row],[Estimated incentive]], "")</f>
        <v/>
      </c>
      <c r="X44" s="207" t="str">
        <f t="shared" si="0"/>
        <v/>
      </c>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row>
    <row r="45" spans="1:52" ht="15" x14ac:dyDescent="0.2">
      <c r="A45" s="163"/>
      <c r="B45" s="174">
        <v>40</v>
      </c>
      <c r="C45" s="175" t="str">
        <f>IFERROR(INDEX(Table_Prescript_Meas[Measure Number], MATCH(E45, Table_Prescript_Meas[Measure Description], 0)), "")</f>
        <v/>
      </c>
      <c r="D45" s="209"/>
      <c r="E45" s="210"/>
      <c r="F45" s="175" t="str">
        <f>IFERROR(INDEX(Table_Prescript_Meas[Units], MATCH(Table_PrescriptLights_Input[[#This Row],[Measure number]], Table_Prescript_Meas[Measure Number], 0)), "")</f>
        <v/>
      </c>
      <c r="G45" s="215"/>
      <c r="H45" s="216"/>
      <c r="I45" s="216"/>
      <c r="J45"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5"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5" s="215"/>
      <c r="M45" s="215"/>
      <c r="N45" s="217"/>
      <c r="O45" s="217"/>
      <c r="P45" s="218"/>
      <c r="Q45"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5" s="206" t="str">
        <f>IF(Table_PrescriptLights_Input[[#This Row],[Unit capacity (tons)]]="","",IFERROR(Table_PrescriptLights_Input[[#This Row],[Per-unit incentive]],""))</f>
        <v/>
      </c>
      <c r="S45"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5"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5" s="206" t="str">
        <f>IFERROR(Table_PrescriptLights_Input[[#This Row],[Energy savings (kWh)]]*Input_AvgkWhRate, "")</f>
        <v/>
      </c>
      <c r="V45" s="206" t="str">
        <f>IF(Table_PrescriptLights_Input[[#This Row],[Unit capacity (tons)]]="", "",Table_PrescriptLights_Input[[#This Row],[Total equipment + labor cost]])</f>
        <v/>
      </c>
      <c r="W45" s="206" t="str">
        <f>IFERROR(Table_PrescriptLights_Input[[#This Row],[Gross measure cost]]-Table_PrescriptLights_Input[[#This Row],[Estimated incentive]], "")</f>
        <v/>
      </c>
      <c r="X45" s="207" t="str">
        <f t="shared" si="0"/>
        <v/>
      </c>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row>
    <row r="46" spans="1:52" ht="15" x14ac:dyDescent="0.2">
      <c r="A46" s="163"/>
      <c r="B46" s="174">
        <v>41</v>
      </c>
      <c r="C46" s="175" t="str">
        <f>IFERROR(INDEX(Table_Prescript_Meas[Measure Number], MATCH(E46, Table_Prescript_Meas[Measure Description], 0)), "")</f>
        <v/>
      </c>
      <c r="D46" s="209"/>
      <c r="E46" s="210"/>
      <c r="F46" s="175" t="str">
        <f>IFERROR(INDEX(Table_Prescript_Meas[Units], MATCH(Table_PrescriptLights_Input[[#This Row],[Measure number]], Table_Prescript_Meas[Measure Number], 0)), "")</f>
        <v/>
      </c>
      <c r="G46" s="215"/>
      <c r="H46" s="216"/>
      <c r="I46" s="216"/>
      <c r="J46"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6"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6" s="215"/>
      <c r="M46" s="215"/>
      <c r="N46" s="217"/>
      <c r="O46" s="217"/>
      <c r="P46" s="218"/>
      <c r="Q46"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6" s="206" t="str">
        <f>IF(Table_PrescriptLights_Input[[#This Row],[Unit capacity (tons)]]="","",IFERROR(Table_PrescriptLights_Input[[#This Row],[Per-unit incentive]],""))</f>
        <v/>
      </c>
      <c r="S46"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6"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6" s="206" t="str">
        <f>IFERROR(Table_PrescriptLights_Input[[#This Row],[Energy savings (kWh)]]*Input_AvgkWhRate, "")</f>
        <v/>
      </c>
      <c r="V46" s="206" t="str">
        <f>IF(Table_PrescriptLights_Input[[#This Row],[Unit capacity (tons)]]="", "",Table_PrescriptLights_Input[[#This Row],[Total equipment + labor cost]])</f>
        <v/>
      </c>
      <c r="W46" s="206" t="str">
        <f>IFERROR(Table_PrescriptLights_Input[[#This Row],[Gross measure cost]]-Table_PrescriptLights_Input[[#This Row],[Estimated incentive]], "")</f>
        <v/>
      </c>
      <c r="X46" s="207" t="str">
        <f t="shared" si="0"/>
        <v/>
      </c>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row>
    <row r="47" spans="1:52" ht="15" x14ac:dyDescent="0.2">
      <c r="A47" s="163"/>
      <c r="B47" s="174">
        <v>42</v>
      </c>
      <c r="C47" s="175" t="str">
        <f>IFERROR(INDEX(Table_Prescript_Meas[Measure Number], MATCH(E47, Table_Prescript_Meas[Measure Description], 0)), "")</f>
        <v/>
      </c>
      <c r="D47" s="209"/>
      <c r="E47" s="210"/>
      <c r="F47" s="175" t="str">
        <f>IFERROR(INDEX(Table_Prescript_Meas[Units], MATCH(Table_PrescriptLights_Input[[#This Row],[Measure number]], Table_Prescript_Meas[Measure Number], 0)), "")</f>
        <v/>
      </c>
      <c r="G47" s="215"/>
      <c r="H47" s="216"/>
      <c r="I47" s="216"/>
      <c r="J47"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7"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7" s="215"/>
      <c r="M47" s="215"/>
      <c r="N47" s="217"/>
      <c r="O47" s="217"/>
      <c r="P47" s="218"/>
      <c r="Q47"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7" s="206" t="str">
        <f>IF(Table_PrescriptLights_Input[[#This Row],[Unit capacity (tons)]]="","",IFERROR(Table_PrescriptLights_Input[[#This Row],[Per-unit incentive]],""))</f>
        <v/>
      </c>
      <c r="S47"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7"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7" s="206" t="str">
        <f>IFERROR(Table_PrescriptLights_Input[[#This Row],[Energy savings (kWh)]]*Input_AvgkWhRate, "")</f>
        <v/>
      </c>
      <c r="V47" s="206" t="str">
        <f>IF(Table_PrescriptLights_Input[[#This Row],[Unit capacity (tons)]]="", "",Table_PrescriptLights_Input[[#This Row],[Total equipment + labor cost]])</f>
        <v/>
      </c>
      <c r="W47" s="206" t="str">
        <f>IFERROR(Table_PrescriptLights_Input[[#This Row],[Gross measure cost]]-Table_PrescriptLights_Input[[#This Row],[Estimated incentive]], "")</f>
        <v/>
      </c>
      <c r="X47" s="207" t="str">
        <f t="shared" si="0"/>
        <v/>
      </c>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row>
    <row r="48" spans="1:52" ht="15" x14ac:dyDescent="0.2">
      <c r="A48" s="163"/>
      <c r="B48" s="174">
        <v>43</v>
      </c>
      <c r="C48" s="175" t="str">
        <f>IFERROR(INDEX(Table_Prescript_Meas[Measure Number], MATCH(E48, Table_Prescript_Meas[Measure Description], 0)), "")</f>
        <v/>
      </c>
      <c r="D48" s="209"/>
      <c r="E48" s="210"/>
      <c r="F48" s="175" t="str">
        <f>IFERROR(INDEX(Table_Prescript_Meas[Units], MATCH(Table_PrescriptLights_Input[[#This Row],[Measure number]], Table_Prescript_Meas[Measure Number], 0)), "")</f>
        <v/>
      </c>
      <c r="G48" s="215"/>
      <c r="H48" s="216"/>
      <c r="I48" s="216"/>
      <c r="J48"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8"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8" s="215"/>
      <c r="M48" s="215"/>
      <c r="N48" s="217"/>
      <c r="O48" s="217"/>
      <c r="P48" s="218"/>
      <c r="Q48"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8" s="206" t="str">
        <f>IF(Table_PrescriptLights_Input[[#This Row],[Unit capacity (tons)]]="","",IFERROR(Table_PrescriptLights_Input[[#This Row],[Per-unit incentive]],""))</f>
        <v/>
      </c>
      <c r="S48"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8"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8" s="206" t="str">
        <f>IFERROR(Table_PrescriptLights_Input[[#This Row],[Energy savings (kWh)]]*Input_AvgkWhRate, "")</f>
        <v/>
      </c>
      <c r="V48" s="206" t="str">
        <f>IF(Table_PrescriptLights_Input[[#This Row],[Unit capacity (tons)]]="", "",Table_PrescriptLights_Input[[#This Row],[Total equipment + labor cost]])</f>
        <v/>
      </c>
      <c r="W48" s="206" t="str">
        <f>IFERROR(Table_PrescriptLights_Input[[#This Row],[Gross measure cost]]-Table_PrescriptLights_Input[[#This Row],[Estimated incentive]], "")</f>
        <v/>
      </c>
      <c r="X48" s="207" t="str">
        <f t="shared" si="0"/>
        <v/>
      </c>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row>
    <row r="49" spans="1:52" ht="15" x14ac:dyDescent="0.2">
      <c r="A49" s="163"/>
      <c r="B49" s="174">
        <v>44</v>
      </c>
      <c r="C49" s="175" t="str">
        <f>IFERROR(INDEX(Table_Prescript_Meas[Measure Number], MATCH(E49, Table_Prescript_Meas[Measure Description], 0)), "")</f>
        <v/>
      </c>
      <c r="D49" s="209"/>
      <c r="E49" s="210"/>
      <c r="F49" s="175" t="str">
        <f>IFERROR(INDEX(Table_Prescript_Meas[Units], MATCH(Table_PrescriptLights_Input[[#This Row],[Measure number]], Table_Prescript_Meas[Measure Number], 0)), "")</f>
        <v/>
      </c>
      <c r="G49" s="215"/>
      <c r="H49" s="216"/>
      <c r="I49" s="216"/>
      <c r="J49"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49"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49" s="215"/>
      <c r="M49" s="215"/>
      <c r="N49" s="217"/>
      <c r="O49" s="217"/>
      <c r="P49" s="218"/>
      <c r="Q49"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49" s="206" t="str">
        <f>IF(Table_PrescriptLights_Input[[#This Row],[Unit capacity (tons)]]="","",IFERROR(Table_PrescriptLights_Input[[#This Row],[Per-unit incentive]],""))</f>
        <v/>
      </c>
      <c r="S49"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49"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49" s="206" t="str">
        <f>IFERROR(Table_PrescriptLights_Input[[#This Row],[Energy savings (kWh)]]*Input_AvgkWhRate, "")</f>
        <v/>
      </c>
      <c r="V49" s="206" t="str">
        <f>IF(Table_PrescriptLights_Input[[#This Row],[Unit capacity (tons)]]="", "",Table_PrescriptLights_Input[[#This Row],[Total equipment + labor cost]])</f>
        <v/>
      </c>
      <c r="W49" s="206" t="str">
        <f>IFERROR(Table_PrescriptLights_Input[[#This Row],[Gross measure cost]]-Table_PrescriptLights_Input[[#This Row],[Estimated incentive]], "")</f>
        <v/>
      </c>
      <c r="X49" s="207" t="str">
        <f t="shared" si="0"/>
        <v/>
      </c>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row>
    <row r="50" spans="1:52" ht="15" x14ac:dyDescent="0.2">
      <c r="A50" s="163"/>
      <c r="B50" s="174">
        <v>45</v>
      </c>
      <c r="C50" s="175" t="str">
        <f>IFERROR(INDEX(Table_Prescript_Meas[Measure Number], MATCH(E50, Table_Prescript_Meas[Measure Description], 0)), "")</f>
        <v/>
      </c>
      <c r="D50" s="209"/>
      <c r="E50" s="210"/>
      <c r="F50" s="175" t="str">
        <f>IFERROR(INDEX(Table_Prescript_Meas[Units], MATCH(Table_PrescriptLights_Input[[#This Row],[Measure number]], Table_Prescript_Meas[Measure Number], 0)), "")</f>
        <v/>
      </c>
      <c r="G50" s="215"/>
      <c r="H50" s="216"/>
      <c r="I50" s="216"/>
      <c r="J50"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0"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0" s="215"/>
      <c r="M50" s="215"/>
      <c r="N50" s="217"/>
      <c r="O50" s="217"/>
      <c r="P50" s="218"/>
      <c r="Q50"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0" s="206" t="str">
        <f>IF(Table_PrescriptLights_Input[[#This Row],[Unit capacity (tons)]]="","",IFERROR(Table_PrescriptLights_Input[[#This Row],[Per-unit incentive]],""))</f>
        <v/>
      </c>
      <c r="S50"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0"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0" s="206" t="str">
        <f>IFERROR(Table_PrescriptLights_Input[[#This Row],[Energy savings (kWh)]]*Input_AvgkWhRate, "")</f>
        <v/>
      </c>
      <c r="V50" s="206" t="str">
        <f>IF(Table_PrescriptLights_Input[[#This Row],[Unit capacity (tons)]]="", "",Table_PrescriptLights_Input[[#This Row],[Total equipment + labor cost]])</f>
        <v/>
      </c>
      <c r="W50" s="206" t="str">
        <f>IFERROR(Table_PrescriptLights_Input[[#This Row],[Gross measure cost]]-Table_PrescriptLights_Input[[#This Row],[Estimated incentive]], "")</f>
        <v/>
      </c>
      <c r="X50" s="207" t="str">
        <f t="shared" si="0"/>
        <v/>
      </c>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row>
    <row r="51" spans="1:52" ht="15" x14ac:dyDescent="0.2">
      <c r="A51" s="163"/>
      <c r="B51" s="174">
        <v>46</v>
      </c>
      <c r="C51" s="175" t="str">
        <f>IFERROR(INDEX(Table_Prescript_Meas[Measure Number], MATCH(E51, Table_Prescript_Meas[Measure Description], 0)), "")</f>
        <v/>
      </c>
      <c r="D51" s="209"/>
      <c r="E51" s="210"/>
      <c r="F51" s="175" t="str">
        <f>IFERROR(INDEX(Table_Prescript_Meas[Units], MATCH(Table_PrescriptLights_Input[[#This Row],[Measure number]], Table_Prescript_Meas[Measure Number], 0)), "")</f>
        <v/>
      </c>
      <c r="G51" s="215"/>
      <c r="H51" s="216"/>
      <c r="I51" s="216"/>
      <c r="J51"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1"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1" s="215"/>
      <c r="M51" s="215"/>
      <c r="N51" s="217"/>
      <c r="O51" s="217"/>
      <c r="P51" s="218"/>
      <c r="Q51"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1" s="206" t="str">
        <f>IF(Table_PrescriptLights_Input[[#This Row],[Unit capacity (tons)]]="","",IFERROR(Table_PrescriptLights_Input[[#This Row],[Per-unit incentive]],""))</f>
        <v/>
      </c>
      <c r="S51"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1"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1" s="206" t="str">
        <f>IFERROR(Table_PrescriptLights_Input[[#This Row],[Energy savings (kWh)]]*Input_AvgkWhRate, "")</f>
        <v/>
      </c>
      <c r="V51" s="206" t="str">
        <f>IF(Table_PrescriptLights_Input[[#This Row],[Unit capacity (tons)]]="", "",Table_PrescriptLights_Input[[#This Row],[Total equipment + labor cost]])</f>
        <v/>
      </c>
      <c r="W51" s="206" t="str">
        <f>IFERROR(Table_PrescriptLights_Input[[#This Row],[Gross measure cost]]-Table_PrescriptLights_Input[[#This Row],[Estimated incentive]], "")</f>
        <v/>
      </c>
      <c r="X51" s="207" t="str">
        <f t="shared" si="0"/>
        <v/>
      </c>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row>
    <row r="52" spans="1:52" ht="15" x14ac:dyDescent="0.2">
      <c r="A52" s="163"/>
      <c r="B52" s="174">
        <v>47</v>
      </c>
      <c r="C52" s="175" t="str">
        <f>IFERROR(INDEX(Table_Prescript_Meas[Measure Number], MATCH(E52, Table_Prescript_Meas[Measure Description], 0)), "")</f>
        <v/>
      </c>
      <c r="D52" s="209"/>
      <c r="E52" s="210"/>
      <c r="F52" s="175" t="str">
        <f>IFERROR(INDEX(Table_Prescript_Meas[Units], MATCH(Table_PrescriptLights_Input[[#This Row],[Measure number]], Table_Prescript_Meas[Measure Number], 0)), "")</f>
        <v/>
      </c>
      <c r="G52" s="215"/>
      <c r="H52" s="216"/>
      <c r="I52" s="216"/>
      <c r="J52"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2"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2" s="215"/>
      <c r="M52" s="215"/>
      <c r="N52" s="217"/>
      <c r="O52" s="217"/>
      <c r="P52" s="218"/>
      <c r="Q52"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2" s="206" t="str">
        <f>IF(Table_PrescriptLights_Input[[#This Row],[Unit capacity (tons)]]="","",IFERROR(Table_PrescriptLights_Input[[#This Row],[Per-unit incentive]],""))</f>
        <v/>
      </c>
      <c r="S52"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2"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2" s="206" t="str">
        <f>IFERROR(Table_PrescriptLights_Input[[#This Row],[Energy savings (kWh)]]*Input_AvgkWhRate, "")</f>
        <v/>
      </c>
      <c r="V52" s="206" t="str">
        <f>IF(Table_PrescriptLights_Input[[#This Row],[Unit capacity (tons)]]="", "",Table_PrescriptLights_Input[[#This Row],[Total equipment + labor cost]])</f>
        <v/>
      </c>
      <c r="W52" s="206" t="str">
        <f>IFERROR(Table_PrescriptLights_Input[[#This Row],[Gross measure cost]]-Table_PrescriptLights_Input[[#This Row],[Estimated incentive]], "")</f>
        <v/>
      </c>
      <c r="X52" s="207" t="str">
        <f t="shared" si="0"/>
        <v/>
      </c>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row>
    <row r="53" spans="1:52" ht="15" x14ac:dyDescent="0.2">
      <c r="A53" s="163"/>
      <c r="B53" s="174">
        <v>48</v>
      </c>
      <c r="C53" s="175" t="str">
        <f>IFERROR(INDEX(Table_Prescript_Meas[Measure Number], MATCH(E53, Table_Prescript_Meas[Measure Description], 0)), "")</f>
        <v/>
      </c>
      <c r="D53" s="209"/>
      <c r="E53" s="210"/>
      <c r="F53" s="175" t="str">
        <f>IFERROR(INDEX(Table_Prescript_Meas[Units], MATCH(Table_PrescriptLights_Input[[#This Row],[Measure number]], Table_Prescript_Meas[Measure Number], 0)), "")</f>
        <v/>
      </c>
      <c r="G53" s="215"/>
      <c r="H53" s="216"/>
      <c r="I53" s="216"/>
      <c r="J53"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3"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3" s="215"/>
      <c r="M53" s="215"/>
      <c r="N53" s="217"/>
      <c r="O53" s="217"/>
      <c r="P53" s="218"/>
      <c r="Q53"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3" s="206" t="str">
        <f>IF(Table_PrescriptLights_Input[[#This Row],[Unit capacity (tons)]]="","",IFERROR(Table_PrescriptLights_Input[[#This Row],[Per-unit incentive]],""))</f>
        <v/>
      </c>
      <c r="S53"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3"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3" s="206" t="str">
        <f>IFERROR(Table_PrescriptLights_Input[[#This Row],[Energy savings (kWh)]]*Input_AvgkWhRate, "")</f>
        <v/>
      </c>
      <c r="V53" s="206" t="str">
        <f>IF(Table_PrescriptLights_Input[[#This Row],[Unit capacity (tons)]]="", "",Table_PrescriptLights_Input[[#This Row],[Total equipment + labor cost]])</f>
        <v/>
      </c>
      <c r="W53" s="206" t="str">
        <f>IFERROR(Table_PrescriptLights_Input[[#This Row],[Gross measure cost]]-Table_PrescriptLights_Input[[#This Row],[Estimated incentive]], "")</f>
        <v/>
      </c>
      <c r="X53" s="207" t="str">
        <f t="shared" si="0"/>
        <v/>
      </c>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row>
    <row r="54" spans="1:52" ht="15" x14ac:dyDescent="0.2">
      <c r="A54" s="163"/>
      <c r="B54" s="174">
        <v>49</v>
      </c>
      <c r="C54" s="175" t="str">
        <f>IFERROR(INDEX(Table_Prescript_Meas[Measure Number], MATCH(E54, Table_Prescript_Meas[Measure Description], 0)), "")</f>
        <v/>
      </c>
      <c r="D54" s="209"/>
      <c r="E54" s="210"/>
      <c r="F54" s="175" t="str">
        <f>IFERROR(INDEX(Table_Prescript_Meas[Units], MATCH(Table_PrescriptLights_Input[[#This Row],[Measure number]], Table_Prescript_Meas[Measure Number], 0)), "")</f>
        <v/>
      </c>
      <c r="G54" s="215"/>
      <c r="H54" s="216"/>
      <c r="I54" s="216"/>
      <c r="J54"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4"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4" s="215"/>
      <c r="M54" s="215"/>
      <c r="N54" s="217"/>
      <c r="O54" s="217"/>
      <c r="P54" s="218"/>
      <c r="Q54"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4" s="206" t="str">
        <f>IF(Table_PrescriptLights_Input[[#This Row],[Unit capacity (tons)]]="","",IFERROR(Table_PrescriptLights_Input[[#This Row],[Per-unit incentive]],""))</f>
        <v/>
      </c>
      <c r="S54"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4"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4" s="206" t="str">
        <f>IFERROR(Table_PrescriptLights_Input[[#This Row],[Energy savings (kWh)]]*Input_AvgkWhRate, "")</f>
        <v/>
      </c>
      <c r="V54" s="206" t="str">
        <f>IF(Table_PrescriptLights_Input[[#This Row],[Unit capacity (tons)]]="", "",Table_PrescriptLights_Input[[#This Row],[Total equipment + labor cost]])</f>
        <v/>
      </c>
      <c r="W54" s="206" t="str">
        <f>IFERROR(Table_PrescriptLights_Input[[#This Row],[Gross measure cost]]-Table_PrescriptLights_Input[[#This Row],[Estimated incentive]], "")</f>
        <v/>
      </c>
      <c r="X54" s="207" t="str">
        <f t="shared" si="0"/>
        <v/>
      </c>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row>
    <row r="55" spans="1:52" ht="15" x14ac:dyDescent="0.2">
      <c r="A55" s="163"/>
      <c r="B55" s="174">
        <v>50</v>
      </c>
      <c r="C55" s="175" t="str">
        <f>IFERROR(INDEX(Table_Prescript_Meas[Measure Number], MATCH(E55, Table_Prescript_Meas[Measure Description], 0)), "")</f>
        <v/>
      </c>
      <c r="D55" s="209"/>
      <c r="E55" s="210"/>
      <c r="F55" s="175" t="str">
        <f>IFERROR(INDEX(Table_Prescript_Meas[Units], MATCH(Table_PrescriptLights_Input[[#This Row],[Measure number]], Table_Prescript_Meas[Measure Number], 0)), "")</f>
        <v/>
      </c>
      <c r="G55" s="215"/>
      <c r="H55" s="216"/>
      <c r="I55" s="216"/>
      <c r="J55" s="175" t="str">
        <f>IF(Table_PrescriptLights_Input[[#This Row],[Unit capacity (tons)]]="","",IF(AND(Table_PrescriptLights_Input[[#This Row],[Unit capacity (tons)]]&lt;References!$S$48,Table_PrescriptLights_Input[[#This Row],[Measure number]]&lt;References!$F$13),References!$U$48,IF(AND(Table_PrescriptLights_Input[[#This Row],[Unit capacity (tons)]]&lt;References!$S$49,Table_PrescriptLights_Input[[#This Row],[Unit capacity (tons)]]&gt;References!$S$48,Table_PrescriptLights_Input[[#This Row],[Measure number]]&lt;References!$F$13),References!$U$49,IF(AND(Table_PrescriptLights_Input[[#This Row],[Unit capacity (tons)]]&lt;References!$S$50,Table_PrescriptLights_Input[[#This Row],[Unit capacity (tons)]]&gt;References!$S$49,Table_PrescriptLights_Input[[#This Row],[Measure number]]&lt;References!$F$13),References!$U$50,IF(AND(Table_PrescriptLights_Input[[#This Row],[Unit capacity (tons)]]&gt;References!$R$50,Table_PrescriptLights_Input[[#This Row],[Measure number]]&lt;References!$F$13),References!$U$51,IF(AND(Table_PrescriptLights_Input[[#This Row],[Unit capacity (tons)]]&lt;References!$S$55,Table_PrescriptLights_Input[[#This Row],[Measure number]]&gt;References!$F$12),References!$U$55,IF(AND(Table_PrescriptLights_Input[[#This Row],[Unit capacity (tons)]]&lt;References!$S$56,Table_PrescriptLights_Input[[#This Row],[Unit capacity (tons)]]&gt;References!$S$55,Table_PrescriptLights_Input[[#This Row],[Measure number]]&gt;References!$F$12),References!$U$56,IF(AND(Table_PrescriptLights_Input[[#This Row],[Unit capacity (tons)]]&lt;References!$S$57,Table_PrescriptLights_Input[[#This Row],[Unit capacity (tons)]]&gt;References!$S$56,Table_PrescriptLights_Input[[#This Row],[Measure number]]&gt;References!$F$12),References!$U$57,IF(AND(Table_PrescriptLights_Input[[#This Row],[Unit capacity (tons)]]&gt;References!$R$57,Table_PrescriptLights_Input[[#This Row],[Measure number]]&gt;References!$F$12),References!$U$58,"")))))))))</f>
        <v/>
      </c>
      <c r="K55" s="175" t="str">
        <f>IF(OR(Table_PrescriptLights_Input[[#This Row],[Unit capacity (tons)]]="",Table_PrescriptLights_Input[[#This Row],[Measure number]]&lt;References!$F$13),"",IF(Table_PrescriptLights_Input[[#This Row],[Unit capacity (tons)]]&lt;References!$S$55,References!$V$55,IF(AND(Table_PrescriptLights_Input[[#This Row],[Unit capacity (tons)]]&lt;References!$S$56,Table_PrescriptLights_Input[[#This Row],[Unit capacity (tons)]]&gt;References!$S$55),References!$V$56,IF(AND(Table_PrescriptLights_Input[[#This Row],[Unit capacity (tons)]]&lt;References!$S$57,Table_PrescriptLights_Input[[#This Row],[Unit capacity (tons)]]&gt;References!$S$56),References!$V$57,IF(OR(Table_PrescriptLights_Input[[#This Row],[Unit capacity (tons)]]&gt;References!$S$57,Table_PrescriptLights_Input[[#This Row],[Unit capacity (tons)]]=References!$S$57),References!$V$58,"")))))</f>
        <v/>
      </c>
      <c r="L55" s="215"/>
      <c r="M55" s="215"/>
      <c r="N55" s="217"/>
      <c r="O55" s="217"/>
      <c r="P55" s="218"/>
      <c r="Q55" s="176" t="str">
        <f>IFERROR(IF(AND(Table_PrescriptLights_Input[[#This Row],[Refrigerant Charge Adjustment?]]="Yes", Input_ProgramType=References!$Z$5), INDEX(Table_Prescript_Meas[Incentive - LC (RCA)], MATCH(Table_PrescriptLights_Input[[#This Row],[Measure number]], Table_Prescript_Meas[Measure Number], 0)), IF(AND(Table_PrescriptLights_Input[[#This Row],[Refrigerant Charge Adjustment?]]="Yes", Input_ProgramType=References!$Z$4), INDEX(Table_Prescript_Meas[Incentive - SC (RCA)], MATCH(Table_PrescriptLights_Input[[#This Row],[Measure number]], Table_Prescript_Meas[Measure Number], 0)), IF(AND(Table_PrescriptLights_Input[[#This Row],[Refrigerant Charge Adjustment?]]="No", Input_ProgramType=References!$Z$5), INDEX(Table_Prescript_Meas[Incentive - LC (No RCA)], MATCH(Table_PrescriptLights_Input[[#This Row],[Measure number]], Table_Prescript_Meas[Measure Number], 0)), IF(AND(Table_PrescriptLights_Input[[#This Row],[Refrigerant Charge Adjustment?]]="No", Input_ProgramType=References!$Z$4), INDEX(Table_Prescript_Meas[Incentive - SC (No RCA)], MATCH(Table_PrescriptLights_Input[[#This Row],[Measure number]], Table_Prescript_Meas[Measure Number], 0)), "")))),"")</f>
        <v/>
      </c>
      <c r="R55" s="206" t="str">
        <f>IF(Table_PrescriptLights_Input[[#This Row],[Unit capacity (tons)]]="","",IFERROR(Table_PrescriptLights_Input[[#This Row],[Per-unit incentive]],""))</f>
        <v/>
      </c>
      <c r="S55" s="207"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Pumps'!$E$4,References!$S$5:$V$17,3,FALSE),IF(AND(Table_PrescriptLights_Input[[#This Row],[Refrigerant Charge Adjustment?]]="Yes",Table_PrescriptLights_Input[[#This Row],[Measure number]]&gt;References!$F$12),Table_PrescriptLights_Input[[#This Row],[Unit capacity (tons)]]*VLOOKUP('A-C &amp; Heat Pumps'!$E$4,References!$S$21:$V$33,3,FALSE),IF(AND(Table_PrescriptLights_Input[[#This Row],[Refrigerant Charge Adjustment?]]="No",Table_PrescriptLights_Input[[#This Row],[Measure number]]&lt;References!$F$13),((Table_PrescriptLights_Input[[#This Row],[Unit capacity (tons)]]*12000/1000)/Table_PrescriptLights_Input[[#This Row],[EER]])*VLOOKUP($E$4,References!$N$103:$Q$115,2,FALSE)*0.0632,IF(AND(Table_PrescriptLights_Input[[#This Row],[Refrigerant Charge Adjustment?]]="No",Table_PrescriptLights_Input[[#This Row],[Measure number]]&gt;References!$F$12),(((Table_PrescriptLights_Input[[#This Row],[Unit capacity (tons)]]*12000/1000)/Table_PrescriptLights_Input[[#This Row],[EER]])*VLOOKUP($E$4,References!$N$103:$Q$115,2,FALSE)*0.0632)+(((Table_PrescriptLights_Input[[#This Row],[Unit capacity (tons)]]*12000/1000)/Table_PrescriptLights_Input[[#This Row],[HSPF]])*VLOOKUP($E$4,References!$N$103:$Q$115,3,FALSE)*0.0632),"")))))</f>
        <v/>
      </c>
      <c r="T55" s="208"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(tons)]]*VLOOKUP('A-C &amp; Heat Pumps'!$E$4,References!$S$5:$V$17,4,FALSE),IF(AND(Table_PrescriptLights_Input[[#This Row],[Refrigerant Charge Adjustment?]]="Yes",Table_PrescriptLights_Input[[#This Row],[Measure number]]&gt;References!$F$12),Table_PrescriptLights_Input[[#This Row],[Unit capacity (tons)]]*VLOOKUP('A-C &amp; Heat Pumps'!$E$4,References!$S$21:$V$33,4,FALSE),IF(AND(Table_PrescriptLights_Input[[#This Row],[Refrigerant Charge Adjustment?]]="No",Table_PrescriptLights_Input[[#This Row],[Measure number]]&lt;References!$F$13),((Table_PrescriptLights_Input[[#This Row],[Unit capacity (tons)]]*12000/1000)/Table_PrescriptLights_Input[[#This Row],[EER]])*VLOOKUP($E$4,References!$N$103:$Q$115,4,FALSE)*0.0632,IF(AND(Table_PrescriptLights_Input[[#This Row],[Refrigerant Charge Adjustment?]]="No",Table_PrescriptLights_Input[[#This Row],[Measure number]]&gt;References!$F$12),(((Table_PrescriptLights_Input[[#This Row],[Unit capacity (tons)]]*12000/1000)/Table_PrescriptLights_Input[[#This Row],[EER]])*VLOOKUP($E$4,References!$N$103:$Q$115,4,FALSE)*0.0632),"")))))</f>
        <v/>
      </c>
      <c r="U55" s="206" t="str">
        <f>IFERROR(Table_PrescriptLights_Input[[#This Row],[Energy savings (kWh)]]*Input_AvgkWhRate, "")</f>
        <v/>
      </c>
      <c r="V55" s="206" t="str">
        <f>IF(Table_PrescriptLights_Input[[#This Row],[Unit capacity (tons)]]="", "",Table_PrescriptLights_Input[[#This Row],[Total equipment + labor cost]])</f>
        <v/>
      </c>
      <c r="W55" s="206" t="str">
        <f>IFERROR(Table_PrescriptLights_Input[[#This Row],[Gross measure cost]]-Table_PrescriptLights_Input[[#This Row],[Estimated incentive]], "")</f>
        <v/>
      </c>
      <c r="X55" s="207" t="str">
        <f t="shared" si="0"/>
        <v/>
      </c>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row>
    <row r="56" spans="1:52" x14ac:dyDescent="0.2">
      <c r="A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c r="AW56" s="163"/>
      <c r="AX56" s="163"/>
      <c r="AY56" s="163"/>
      <c r="AZ56" s="163"/>
    </row>
    <row r="57" spans="1:52" x14ac:dyDescent="0.2">
      <c r="F57" s="160"/>
    </row>
    <row r="58" spans="1:52" x14ac:dyDescent="0.2">
      <c r="B58" s="160" t="s">
        <v>401</v>
      </c>
      <c r="F58" s="160"/>
    </row>
    <row r="59" spans="1:52" x14ac:dyDescent="0.2">
      <c r="B59" s="160" t="str">
        <f>Value_Application_Version</f>
        <v>Version 4.0</v>
      </c>
      <c r="F59" s="160"/>
    </row>
    <row r="60" spans="1:52" x14ac:dyDescent="0.2">
      <c r="F60" s="160"/>
    </row>
    <row r="61" spans="1:52" x14ac:dyDescent="0.2">
      <c r="A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c r="AW61" s="163"/>
      <c r="AX61" s="163"/>
      <c r="AY61" s="163"/>
      <c r="AZ61" s="163"/>
    </row>
    <row r="62" spans="1:52" x14ac:dyDescent="0.2">
      <c r="A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c r="AW62" s="163"/>
      <c r="AX62" s="163"/>
      <c r="AY62" s="163"/>
      <c r="AZ62" s="163"/>
    </row>
    <row r="63" spans="1:52" x14ac:dyDescent="0.2">
      <c r="A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c r="AW63" s="163"/>
      <c r="AX63" s="163"/>
      <c r="AY63" s="163"/>
      <c r="AZ63" s="163"/>
    </row>
    <row r="64" spans="1:52" x14ac:dyDescent="0.2">
      <c r="A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row>
    <row r="65" spans="1:52" x14ac:dyDescent="0.2">
      <c r="A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row>
    <row r="66" spans="1:52" x14ac:dyDescent="0.2">
      <c r="A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row>
    <row r="67" spans="1:52" x14ac:dyDescent="0.2">
      <c r="A67" s="163"/>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3"/>
      <c r="AW67" s="163"/>
      <c r="AX67" s="163"/>
      <c r="AY67" s="163"/>
      <c r="AZ67" s="163"/>
    </row>
    <row r="68" spans="1:52" x14ac:dyDescent="0.2">
      <c r="A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c r="AW68" s="163"/>
      <c r="AX68" s="163"/>
      <c r="AY68" s="163"/>
      <c r="AZ68" s="163"/>
    </row>
    <row r="69" spans="1:52" x14ac:dyDescent="0.2">
      <c r="A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row>
    <row r="70" spans="1:52" x14ac:dyDescent="0.2">
      <c r="A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c r="AW70" s="163"/>
      <c r="AX70" s="163"/>
      <c r="AY70" s="163"/>
      <c r="AZ70" s="163"/>
    </row>
    <row r="71" spans="1:52" x14ac:dyDescent="0.2">
      <c r="A71" s="163"/>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row>
    <row r="72" spans="1:52" x14ac:dyDescent="0.2">
      <c r="A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row>
    <row r="73" spans="1:52" x14ac:dyDescent="0.2">
      <c r="A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row>
    <row r="74" spans="1:52" x14ac:dyDescent="0.2">
      <c r="A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row>
    <row r="75" spans="1:52" x14ac:dyDescent="0.2">
      <c r="A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163"/>
    </row>
    <row r="76" spans="1:52" x14ac:dyDescent="0.2">
      <c r="A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c r="AW76" s="163"/>
      <c r="AX76" s="163"/>
      <c r="AY76" s="163"/>
      <c r="AZ76" s="163"/>
    </row>
    <row r="77" spans="1:52" x14ac:dyDescent="0.2">
      <c r="A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c r="AW77" s="163"/>
      <c r="AX77" s="163"/>
      <c r="AY77" s="163"/>
      <c r="AZ77" s="163"/>
    </row>
    <row r="78" spans="1:52" x14ac:dyDescent="0.2">
      <c r="A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c r="AW78" s="163"/>
      <c r="AX78" s="163"/>
      <c r="AY78" s="163"/>
      <c r="AZ78" s="163"/>
    </row>
    <row r="79" spans="1:52" x14ac:dyDescent="0.2">
      <c r="A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c r="AW79" s="163"/>
      <c r="AX79" s="163"/>
      <c r="AY79" s="163"/>
      <c r="AZ79" s="163"/>
    </row>
    <row r="80" spans="1:52" x14ac:dyDescent="0.2">
      <c r="A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row>
    <row r="81" spans="1:52" x14ac:dyDescent="0.2">
      <c r="A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row>
    <row r="82" spans="1:52" x14ac:dyDescent="0.2">
      <c r="A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row>
    <row r="83" spans="1:52" x14ac:dyDescent="0.2">
      <c r="A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row>
    <row r="84" spans="1:52" x14ac:dyDescent="0.2">
      <c r="A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row>
    <row r="85" spans="1:52" x14ac:dyDescent="0.2">
      <c r="A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row>
    <row r="86" spans="1:52" x14ac:dyDescent="0.2">
      <c r="A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row>
    <row r="87" spans="1:52" x14ac:dyDescent="0.2">
      <c r="A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3"/>
    </row>
    <row r="88" spans="1:52" x14ac:dyDescent="0.2">
      <c r="A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row>
    <row r="89" spans="1:52" x14ac:dyDescent="0.2">
      <c r="A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row>
    <row r="90" spans="1:52" x14ac:dyDescent="0.2">
      <c r="A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row>
    <row r="91" spans="1:52" x14ac:dyDescent="0.2">
      <c r="A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3"/>
    </row>
    <row r="92" spans="1:52" x14ac:dyDescent="0.2">
      <c r="A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row>
    <row r="93" spans="1:52" x14ac:dyDescent="0.2">
      <c r="A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row>
    <row r="94" spans="1:52" x14ac:dyDescent="0.2">
      <c r="A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row>
    <row r="95" spans="1:52" x14ac:dyDescent="0.2">
      <c r="A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row>
    <row r="96" spans="1:52" x14ac:dyDescent="0.2">
      <c r="A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row>
    <row r="97" spans="1:52" x14ac:dyDescent="0.2">
      <c r="A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row>
    <row r="98" spans="1:52" x14ac:dyDescent="0.2">
      <c r="A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row>
    <row r="99" spans="1:52" x14ac:dyDescent="0.2">
      <c r="A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row>
    <row r="100" spans="1:52" x14ac:dyDescent="0.2">
      <c r="A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row>
    <row r="101" spans="1:52" x14ac:dyDescent="0.2">
      <c r="A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row>
    <row r="102" spans="1:52" x14ac:dyDescent="0.2">
      <c r="A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row>
    <row r="103" spans="1:52" x14ac:dyDescent="0.2">
      <c r="A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row>
    <row r="104" spans="1:52" x14ac:dyDescent="0.2">
      <c r="A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row>
    <row r="105" spans="1:52" x14ac:dyDescent="0.2">
      <c r="A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row>
    <row r="106" spans="1:52" x14ac:dyDescent="0.2">
      <c r="A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c r="AW106" s="163"/>
      <c r="AX106" s="163"/>
      <c r="AY106" s="163"/>
      <c r="AZ106" s="163"/>
    </row>
    <row r="107" spans="1:52" x14ac:dyDescent="0.2">
      <c r="A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c r="AW107" s="163"/>
      <c r="AX107" s="163"/>
      <c r="AY107" s="163"/>
      <c r="AZ107" s="163"/>
    </row>
    <row r="108" spans="1:52" x14ac:dyDescent="0.2">
      <c r="A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row>
    <row r="109" spans="1:52" x14ac:dyDescent="0.2">
      <c r="A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row>
    <row r="110" spans="1:52" x14ac:dyDescent="0.2">
      <c r="A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row>
    <row r="111" spans="1:52" x14ac:dyDescent="0.2">
      <c r="A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row>
    <row r="112" spans="1:52" x14ac:dyDescent="0.2">
      <c r="A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row>
    <row r="113" spans="1:52" x14ac:dyDescent="0.2">
      <c r="A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row>
    <row r="114" spans="1:52" x14ac:dyDescent="0.2">
      <c r="A114" s="163"/>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row>
    <row r="115" spans="1:52" x14ac:dyDescent="0.2">
      <c r="A115" s="163"/>
      <c r="Y115" s="163"/>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c r="AW115" s="163"/>
      <c r="AX115" s="163"/>
      <c r="AY115" s="163"/>
      <c r="AZ115" s="163"/>
    </row>
    <row r="116" spans="1:52" x14ac:dyDescent="0.2">
      <c r="A116" s="16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row>
    <row r="117" spans="1:52" x14ac:dyDescent="0.2">
      <c r="A117" s="163"/>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row>
    <row r="118" spans="1:52" x14ac:dyDescent="0.2">
      <c r="A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row>
    <row r="119" spans="1:52" x14ac:dyDescent="0.2">
      <c r="A119" s="163"/>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row>
    <row r="120" spans="1:52" x14ac:dyDescent="0.2">
      <c r="A120" s="163"/>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row>
    <row r="121" spans="1:52" x14ac:dyDescent="0.2">
      <c r="A121" s="163"/>
      <c r="Y121" s="163"/>
      <c r="Z121" s="163"/>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c r="AW121" s="163"/>
      <c r="AX121" s="163"/>
      <c r="AY121" s="163"/>
      <c r="AZ121" s="163"/>
    </row>
    <row r="122" spans="1:52" x14ac:dyDescent="0.2">
      <c r="A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row>
    <row r="123" spans="1:52" x14ac:dyDescent="0.2">
      <c r="A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row>
    <row r="124" spans="1:52" x14ac:dyDescent="0.2">
      <c r="A124" s="163"/>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row>
    <row r="125" spans="1:52" x14ac:dyDescent="0.2">
      <c r="A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row>
    <row r="126" spans="1:52" x14ac:dyDescent="0.2">
      <c r="A126" s="163"/>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row>
    <row r="127" spans="1:52" x14ac:dyDescent="0.2">
      <c r="A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row>
    <row r="128" spans="1:52" x14ac:dyDescent="0.2">
      <c r="A128" s="163"/>
      <c r="Y128" s="163"/>
      <c r="Z128" s="163"/>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row>
    <row r="129" spans="1:52" x14ac:dyDescent="0.2">
      <c r="A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row>
    <row r="130" spans="1:52" x14ac:dyDescent="0.2">
      <c r="A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c r="AW130" s="163"/>
      <c r="AX130" s="163"/>
      <c r="AY130" s="163"/>
      <c r="AZ130" s="163"/>
    </row>
    <row r="131" spans="1:52" x14ac:dyDescent="0.2">
      <c r="A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row>
    <row r="132" spans="1:52" x14ac:dyDescent="0.2">
      <c r="A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row>
    <row r="133" spans="1:52" x14ac:dyDescent="0.2">
      <c r="A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row>
    <row r="134" spans="1:52" x14ac:dyDescent="0.2">
      <c r="A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row>
    <row r="135" spans="1:52" x14ac:dyDescent="0.2">
      <c r="A135" s="16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row>
    <row r="136" spans="1:52" x14ac:dyDescent="0.2">
      <c r="A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row>
    <row r="137" spans="1:52" x14ac:dyDescent="0.2">
      <c r="A137" s="163"/>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row>
    <row r="138" spans="1:52" x14ac:dyDescent="0.2">
      <c r="A138" s="163"/>
      <c r="Y138" s="163"/>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row>
    <row r="139" spans="1:52" x14ac:dyDescent="0.2">
      <c r="A139" s="163"/>
      <c r="Y139" s="163"/>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row>
    <row r="140" spans="1:52" x14ac:dyDescent="0.2">
      <c r="A140" s="163"/>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row>
    <row r="141" spans="1:52" x14ac:dyDescent="0.2">
      <c r="A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row>
    <row r="142" spans="1:52" x14ac:dyDescent="0.2">
      <c r="A142" s="163"/>
      <c r="Y142" s="163"/>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row>
    <row r="143" spans="1:52" x14ac:dyDescent="0.2">
      <c r="A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row>
    <row r="144" spans="1:52" x14ac:dyDescent="0.2">
      <c r="A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row>
    <row r="145" spans="1:52" x14ac:dyDescent="0.2">
      <c r="A145" s="163"/>
      <c r="Y145" s="163"/>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row>
    <row r="146" spans="1:52" x14ac:dyDescent="0.2">
      <c r="A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3"/>
      <c r="AZ146" s="163"/>
    </row>
    <row r="147" spans="1:52" x14ac:dyDescent="0.2">
      <c r="A147" s="163"/>
      <c r="Y147" s="163"/>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c r="AW147" s="163"/>
      <c r="AX147" s="163"/>
      <c r="AY147" s="163"/>
      <c r="AZ147" s="163"/>
    </row>
    <row r="148" spans="1:52" x14ac:dyDescent="0.2">
      <c r="A148" s="163"/>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c r="AW148" s="163"/>
      <c r="AX148" s="163"/>
      <c r="AY148" s="163"/>
      <c r="AZ148" s="163"/>
    </row>
    <row r="149" spans="1:52" x14ac:dyDescent="0.2">
      <c r="A149" s="163"/>
      <c r="Y149" s="163"/>
      <c r="Z149" s="163"/>
      <c r="AA149" s="163"/>
      <c r="AB149" s="163"/>
      <c r="AC149" s="163"/>
      <c r="AD149" s="163"/>
      <c r="AE149" s="163"/>
      <c r="AF149" s="163"/>
      <c r="AG149" s="163"/>
      <c r="AH149" s="163"/>
      <c r="AI149" s="163"/>
      <c r="AJ149" s="163"/>
      <c r="AK149" s="163"/>
      <c r="AL149" s="163"/>
      <c r="AM149" s="163"/>
      <c r="AN149" s="163"/>
      <c r="AO149" s="163"/>
      <c r="AP149" s="163"/>
      <c r="AQ149" s="163"/>
      <c r="AR149" s="163"/>
      <c r="AS149" s="163"/>
      <c r="AT149" s="163"/>
      <c r="AU149" s="163"/>
      <c r="AV149" s="163"/>
      <c r="AW149" s="163"/>
      <c r="AX149" s="163"/>
      <c r="AY149" s="163"/>
      <c r="AZ149" s="163"/>
    </row>
    <row r="150" spans="1:52" x14ac:dyDescent="0.2">
      <c r="A150" s="16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c r="AW150" s="163"/>
      <c r="AX150" s="163"/>
      <c r="AY150" s="163"/>
      <c r="AZ150" s="163"/>
    </row>
    <row r="151" spans="1:52" x14ac:dyDescent="0.2">
      <c r="A151" s="163"/>
      <c r="Y151" s="163"/>
      <c r="Z151" s="163"/>
      <c r="AA151" s="163"/>
      <c r="AB151" s="163"/>
      <c r="AC151" s="163"/>
      <c r="AD151" s="163"/>
      <c r="AE151" s="163"/>
      <c r="AF151" s="163"/>
      <c r="AG151" s="163"/>
      <c r="AH151" s="163"/>
      <c r="AI151" s="163"/>
      <c r="AJ151" s="163"/>
      <c r="AK151" s="163"/>
      <c r="AL151" s="163"/>
      <c r="AM151" s="163"/>
      <c r="AN151" s="163"/>
      <c r="AO151" s="163"/>
      <c r="AP151" s="163"/>
      <c r="AQ151" s="163"/>
      <c r="AR151" s="163"/>
      <c r="AS151" s="163"/>
      <c r="AT151" s="163"/>
      <c r="AU151" s="163"/>
      <c r="AV151" s="163"/>
      <c r="AW151" s="163"/>
      <c r="AX151" s="163"/>
      <c r="AY151" s="163"/>
      <c r="AZ151" s="163"/>
    </row>
    <row r="152" spans="1:52" x14ac:dyDescent="0.2">
      <c r="A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c r="AW152" s="163"/>
      <c r="AX152" s="163"/>
      <c r="AY152" s="163"/>
      <c r="AZ152" s="163"/>
    </row>
    <row r="153" spans="1:52" x14ac:dyDescent="0.2">
      <c r="A153" s="163"/>
      <c r="Y153" s="163"/>
      <c r="Z153" s="163"/>
      <c r="AA153" s="163"/>
      <c r="AB153" s="163"/>
      <c r="AC153" s="163"/>
      <c r="AD153" s="163"/>
      <c r="AE153" s="163"/>
      <c r="AF153" s="163"/>
      <c r="AG153" s="163"/>
      <c r="AH153" s="163"/>
      <c r="AI153" s="163"/>
      <c r="AJ153" s="163"/>
      <c r="AK153" s="163"/>
      <c r="AL153" s="163"/>
      <c r="AM153" s="163"/>
      <c r="AN153" s="163"/>
      <c r="AO153" s="163"/>
      <c r="AP153" s="163"/>
      <c r="AQ153" s="163"/>
      <c r="AR153" s="163"/>
      <c r="AS153" s="163"/>
      <c r="AT153" s="163"/>
      <c r="AU153" s="163"/>
      <c r="AV153" s="163"/>
      <c r="AW153" s="163"/>
      <c r="AX153" s="163"/>
      <c r="AY153" s="163"/>
      <c r="AZ153" s="163"/>
    </row>
    <row r="154" spans="1:52" x14ac:dyDescent="0.2">
      <c r="A154" s="163"/>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c r="AW154" s="163"/>
      <c r="AX154" s="163"/>
      <c r="AY154" s="163"/>
      <c r="AZ154" s="163"/>
    </row>
    <row r="155" spans="1:52" x14ac:dyDescent="0.2">
      <c r="A155" s="163"/>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c r="AW155" s="163"/>
      <c r="AX155" s="163"/>
      <c r="AY155" s="163"/>
      <c r="AZ155" s="163"/>
    </row>
    <row r="156" spans="1:52" x14ac:dyDescent="0.2">
      <c r="A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3"/>
      <c r="AX156" s="163"/>
      <c r="AY156" s="163"/>
      <c r="AZ156" s="163"/>
    </row>
    <row r="157" spans="1:52" x14ac:dyDescent="0.2">
      <c r="A157" s="163"/>
      <c r="Y157" s="163"/>
      <c r="Z157" s="163"/>
      <c r="AA157" s="163"/>
      <c r="AB157" s="163"/>
      <c r="AC157" s="163"/>
      <c r="AD157" s="163"/>
      <c r="AE157" s="163"/>
      <c r="AF157" s="163"/>
      <c r="AG157" s="163"/>
      <c r="AH157" s="163"/>
      <c r="AI157" s="163"/>
      <c r="AJ157" s="163"/>
      <c r="AK157" s="163"/>
      <c r="AL157" s="163"/>
      <c r="AM157" s="163"/>
      <c r="AN157" s="163"/>
      <c r="AO157" s="163"/>
      <c r="AP157" s="163"/>
      <c r="AQ157" s="163"/>
      <c r="AR157" s="163"/>
      <c r="AS157" s="163"/>
      <c r="AT157" s="163"/>
      <c r="AU157" s="163"/>
      <c r="AV157" s="163"/>
      <c r="AW157" s="163"/>
      <c r="AX157" s="163"/>
      <c r="AY157" s="163"/>
      <c r="AZ157" s="163"/>
    </row>
    <row r="158" spans="1:52" x14ac:dyDescent="0.2">
      <c r="A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c r="AW158" s="163"/>
      <c r="AX158" s="163"/>
      <c r="AY158" s="163"/>
      <c r="AZ158" s="163"/>
    </row>
    <row r="159" spans="1:52" x14ac:dyDescent="0.2">
      <c r="A159" s="163"/>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c r="AW159" s="163"/>
      <c r="AX159" s="163"/>
      <c r="AY159" s="163"/>
      <c r="AZ159" s="163"/>
    </row>
    <row r="160" spans="1:52" x14ac:dyDescent="0.2">
      <c r="A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c r="AZ160" s="163"/>
    </row>
    <row r="161" spans="1:52" x14ac:dyDescent="0.2">
      <c r="A161" s="163"/>
      <c r="Y161" s="163"/>
      <c r="Z161" s="163"/>
      <c r="AA161" s="163"/>
      <c r="AB161" s="163"/>
      <c r="AC161" s="163"/>
      <c r="AD161" s="163"/>
      <c r="AE161" s="163"/>
      <c r="AF161" s="163"/>
      <c r="AG161" s="163"/>
      <c r="AH161" s="163"/>
      <c r="AI161" s="163"/>
      <c r="AJ161" s="163"/>
      <c r="AK161" s="163"/>
      <c r="AL161" s="163"/>
      <c r="AM161" s="163"/>
      <c r="AN161" s="163"/>
      <c r="AO161" s="163"/>
      <c r="AP161" s="163"/>
      <c r="AQ161" s="163"/>
      <c r="AR161" s="163"/>
      <c r="AS161" s="163"/>
      <c r="AT161" s="163"/>
      <c r="AU161" s="163"/>
      <c r="AV161" s="163"/>
      <c r="AW161" s="163"/>
      <c r="AX161" s="163"/>
      <c r="AY161" s="163"/>
      <c r="AZ161" s="163"/>
    </row>
    <row r="162" spans="1:52" x14ac:dyDescent="0.2">
      <c r="A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row>
    <row r="163" spans="1:52" x14ac:dyDescent="0.2">
      <c r="A163" s="163"/>
      <c r="Y163" s="163"/>
      <c r="Z163" s="163"/>
      <c r="AA163" s="163"/>
      <c r="AB163" s="163"/>
      <c r="AC163" s="163"/>
      <c r="AD163" s="163"/>
      <c r="AE163" s="163"/>
      <c r="AF163" s="163"/>
      <c r="AG163" s="163"/>
      <c r="AH163" s="163"/>
      <c r="AI163" s="163"/>
      <c r="AJ163" s="163"/>
      <c r="AK163" s="163"/>
      <c r="AL163" s="163"/>
      <c r="AM163" s="163"/>
      <c r="AN163" s="163"/>
      <c r="AO163" s="163"/>
      <c r="AP163" s="163"/>
      <c r="AQ163" s="163"/>
      <c r="AR163" s="163"/>
      <c r="AS163" s="163"/>
      <c r="AT163" s="163"/>
      <c r="AU163" s="163"/>
      <c r="AV163" s="163"/>
      <c r="AW163" s="163"/>
      <c r="AX163" s="163"/>
      <c r="AY163" s="163"/>
      <c r="AZ163" s="163"/>
    </row>
    <row r="164" spans="1:52" x14ac:dyDescent="0.2">
      <c r="A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3"/>
      <c r="AZ164" s="163"/>
    </row>
    <row r="165" spans="1:52" x14ac:dyDescent="0.2">
      <c r="A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row>
    <row r="166" spans="1:52" x14ac:dyDescent="0.2">
      <c r="A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row>
    <row r="167" spans="1:52" x14ac:dyDescent="0.2">
      <c r="A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row>
    <row r="168" spans="1:52" x14ac:dyDescent="0.2">
      <c r="A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row>
    <row r="169" spans="1:52" x14ac:dyDescent="0.2">
      <c r="A169" s="163"/>
      <c r="Y169" s="163"/>
      <c r="Z169" s="163"/>
      <c r="AA169" s="163"/>
      <c r="AB169" s="163"/>
      <c r="AC169" s="163"/>
      <c r="AD169" s="163"/>
      <c r="AE169" s="163"/>
      <c r="AF169" s="163"/>
      <c r="AG169" s="163"/>
      <c r="AH169" s="163"/>
      <c r="AI169" s="163"/>
      <c r="AJ169" s="163"/>
      <c r="AK169" s="163"/>
      <c r="AL169" s="163"/>
      <c r="AM169" s="163"/>
      <c r="AN169" s="163"/>
      <c r="AO169" s="163"/>
      <c r="AP169" s="163"/>
      <c r="AQ169" s="163"/>
      <c r="AR169" s="163"/>
      <c r="AS169" s="163"/>
      <c r="AT169" s="163"/>
      <c r="AU169" s="163"/>
      <c r="AV169" s="163"/>
      <c r="AW169" s="163"/>
      <c r="AX169" s="163"/>
      <c r="AY169" s="163"/>
      <c r="AZ169" s="163"/>
    </row>
    <row r="170" spans="1:52" x14ac:dyDescent="0.2">
      <c r="A170" s="163"/>
      <c r="Y170" s="163"/>
      <c r="Z170" s="163"/>
      <c r="AA170" s="163"/>
      <c r="AB170" s="163"/>
      <c r="AC170" s="163"/>
      <c r="AD170" s="163"/>
      <c r="AE170" s="163"/>
      <c r="AF170" s="163"/>
      <c r="AG170" s="163"/>
      <c r="AH170" s="163"/>
      <c r="AI170" s="163"/>
      <c r="AJ170" s="163"/>
      <c r="AK170" s="163"/>
      <c r="AL170" s="163"/>
      <c r="AM170" s="163"/>
      <c r="AN170" s="163"/>
      <c r="AO170" s="163"/>
      <c r="AP170" s="163"/>
      <c r="AQ170" s="163"/>
      <c r="AR170" s="163"/>
      <c r="AS170" s="163"/>
      <c r="AT170" s="163"/>
      <c r="AU170" s="163"/>
      <c r="AV170" s="163"/>
      <c r="AW170" s="163"/>
      <c r="AX170" s="163"/>
      <c r="AY170" s="163"/>
      <c r="AZ170" s="163"/>
    </row>
    <row r="171" spans="1:52" x14ac:dyDescent="0.2">
      <c r="A171" s="163"/>
      <c r="Y171" s="163"/>
      <c r="Z171" s="163"/>
      <c r="AA171" s="163"/>
      <c r="AB171" s="163"/>
      <c r="AC171" s="163"/>
      <c r="AD171" s="163"/>
      <c r="AE171" s="163"/>
      <c r="AF171" s="163"/>
      <c r="AG171" s="163"/>
      <c r="AH171" s="163"/>
      <c r="AI171" s="163"/>
      <c r="AJ171" s="163"/>
      <c r="AK171" s="163"/>
      <c r="AL171" s="163"/>
      <c r="AM171" s="163"/>
      <c r="AN171" s="163"/>
      <c r="AO171" s="163"/>
      <c r="AP171" s="163"/>
      <c r="AQ171" s="163"/>
      <c r="AR171" s="163"/>
      <c r="AS171" s="163"/>
      <c r="AT171" s="163"/>
      <c r="AU171" s="163"/>
      <c r="AV171" s="163"/>
      <c r="AW171" s="163"/>
      <c r="AX171" s="163"/>
      <c r="AY171" s="163"/>
      <c r="AZ171" s="163"/>
    </row>
    <row r="172" spans="1:52" x14ac:dyDescent="0.2">
      <c r="A172" s="163"/>
      <c r="Y172" s="163"/>
      <c r="Z172" s="163"/>
      <c r="AA172" s="163"/>
      <c r="AB172" s="163"/>
      <c r="AC172" s="163"/>
      <c r="AD172" s="163"/>
      <c r="AE172" s="163"/>
      <c r="AF172" s="163"/>
      <c r="AG172" s="163"/>
      <c r="AH172" s="163"/>
      <c r="AI172" s="163"/>
      <c r="AJ172" s="163"/>
      <c r="AK172" s="163"/>
      <c r="AL172" s="163"/>
      <c r="AM172" s="163"/>
      <c r="AN172" s="163"/>
      <c r="AO172" s="163"/>
      <c r="AP172" s="163"/>
      <c r="AQ172" s="163"/>
      <c r="AR172" s="163"/>
      <c r="AS172" s="163"/>
      <c r="AT172" s="163"/>
      <c r="AU172" s="163"/>
      <c r="AV172" s="163"/>
      <c r="AW172" s="163"/>
      <c r="AX172" s="163"/>
      <c r="AY172" s="163"/>
      <c r="AZ172" s="163"/>
    </row>
    <row r="173" spans="1:52" x14ac:dyDescent="0.2">
      <c r="A173" s="163"/>
      <c r="Y173" s="163"/>
      <c r="Z173" s="163"/>
      <c r="AA173" s="163"/>
      <c r="AB173" s="163"/>
      <c r="AC173" s="163"/>
      <c r="AD173" s="163"/>
      <c r="AE173" s="163"/>
      <c r="AF173" s="163"/>
      <c r="AG173" s="163"/>
      <c r="AH173" s="163"/>
      <c r="AI173" s="163"/>
      <c r="AJ173" s="163"/>
      <c r="AK173" s="163"/>
      <c r="AL173" s="163"/>
      <c r="AM173" s="163"/>
      <c r="AN173" s="163"/>
      <c r="AO173" s="163"/>
      <c r="AP173" s="163"/>
      <c r="AQ173" s="163"/>
      <c r="AR173" s="163"/>
      <c r="AS173" s="163"/>
      <c r="AT173" s="163"/>
      <c r="AU173" s="163"/>
      <c r="AV173" s="163"/>
      <c r="AW173" s="163"/>
      <c r="AX173" s="163"/>
      <c r="AY173" s="163"/>
      <c r="AZ173" s="163"/>
    </row>
    <row r="174" spans="1:52" x14ac:dyDescent="0.2">
      <c r="A174" s="163"/>
      <c r="Y174" s="163"/>
      <c r="Z174" s="163"/>
      <c r="AA174" s="163"/>
      <c r="AB174" s="163"/>
      <c r="AC174" s="163"/>
      <c r="AD174" s="163"/>
      <c r="AE174" s="163"/>
      <c r="AF174" s="163"/>
      <c r="AG174" s="163"/>
      <c r="AH174" s="163"/>
      <c r="AI174" s="163"/>
      <c r="AJ174" s="163"/>
      <c r="AK174" s="163"/>
      <c r="AL174" s="163"/>
      <c r="AM174" s="163"/>
      <c r="AN174" s="163"/>
      <c r="AO174" s="163"/>
      <c r="AP174" s="163"/>
      <c r="AQ174" s="163"/>
      <c r="AR174" s="163"/>
      <c r="AS174" s="163"/>
      <c r="AT174" s="163"/>
      <c r="AU174" s="163"/>
      <c r="AV174" s="163"/>
      <c r="AW174" s="163"/>
      <c r="AX174" s="163"/>
      <c r="AY174" s="163"/>
      <c r="AZ174" s="163"/>
    </row>
    <row r="175" spans="1:52" x14ac:dyDescent="0.2">
      <c r="A175" s="163"/>
      <c r="Y175" s="163"/>
      <c r="Z175" s="163"/>
      <c r="AA175" s="163"/>
      <c r="AB175" s="163"/>
      <c r="AC175" s="163"/>
      <c r="AD175" s="163"/>
      <c r="AE175" s="163"/>
      <c r="AF175" s="163"/>
      <c r="AG175" s="163"/>
      <c r="AH175" s="163"/>
      <c r="AI175" s="163"/>
      <c r="AJ175" s="163"/>
      <c r="AK175" s="163"/>
      <c r="AL175" s="163"/>
      <c r="AM175" s="163"/>
      <c r="AN175" s="163"/>
      <c r="AO175" s="163"/>
      <c r="AP175" s="163"/>
      <c r="AQ175" s="163"/>
      <c r="AR175" s="163"/>
      <c r="AS175" s="163"/>
      <c r="AT175" s="163"/>
      <c r="AU175" s="163"/>
      <c r="AV175" s="163"/>
      <c r="AW175" s="163"/>
      <c r="AX175" s="163"/>
      <c r="AY175" s="163"/>
      <c r="AZ175" s="163"/>
    </row>
    <row r="176" spans="1:52" x14ac:dyDescent="0.2">
      <c r="A176" s="163"/>
      <c r="Y176" s="163"/>
      <c r="Z176" s="163"/>
      <c r="AA176" s="163"/>
      <c r="AB176" s="163"/>
      <c r="AC176" s="163"/>
      <c r="AD176" s="163"/>
      <c r="AE176" s="163"/>
      <c r="AF176" s="163"/>
      <c r="AG176" s="163"/>
      <c r="AH176" s="163"/>
      <c r="AI176" s="163"/>
      <c r="AJ176" s="163"/>
      <c r="AK176" s="163"/>
      <c r="AL176" s="163"/>
      <c r="AM176" s="163"/>
      <c r="AN176" s="163"/>
      <c r="AO176" s="163"/>
      <c r="AP176" s="163"/>
      <c r="AQ176" s="163"/>
      <c r="AR176" s="163"/>
      <c r="AS176" s="163"/>
      <c r="AT176" s="163"/>
      <c r="AU176" s="163"/>
      <c r="AV176" s="163"/>
      <c r="AW176" s="163"/>
      <c r="AX176" s="163"/>
      <c r="AY176" s="163"/>
      <c r="AZ176" s="163"/>
    </row>
    <row r="177" spans="1:52" x14ac:dyDescent="0.2">
      <c r="A177" s="163"/>
      <c r="Y177" s="163"/>
      <c r="Z177" s="163"/>
      <c r="AA177" s="163"/>
      <c r="AB177" s="163"/>
      <c r="AC177" s="163"/>
      <c r="AD177" s="163"/>
      <c r="AE177" s="163"/>
      <c r="AF177" s="163"/>
      <c r="AG177" s="163"/>
      <c r="AH177" s="163"/>
      <c r="AI177" s="163"/>
      <c r="AJ177" s="163"/>
      <c r="AK177" s="163"/>
      <c r="AL177" s="163"/>
      <c r="AM177" s="163"/>
      <c r="AN177" s="163"/>
      <c r="AO177" s="163"/>
      <c r="AP177" s="163"/>
      <c r="AQ177" s="163"/>
      <c r="AR177" s="163"/>
      <c r="AS177" s="163"/>
      <c r="AT177" s="163"/>
      <c r="AU177" s="163"/>
      <c r="AV177" s="163"/>
      <c r="AW177" s="163"/>
      <c r="AX177" s="163"/>
      <c r="AY177" s="163"/>
      <c r="AZ177" s="163"/>
    </row>
    <row r="178" spans="1:52" x14ac:dyDescent="0.2">
      <c r="A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163"/>
      <c r="AV178" s="163"/>
      <c r="AW178" s="163"/>
      <c r="AX178" s="163"/>
      <c r="AY178" s="163"/>
      <c r="AZ178" s="163"/>
    </row>
    <row r="179" spans="1:52" x14ac:dyDescent="0.2">
      <c r="A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row>
    <row r="180" spans="1:52" x14ac:dyDescent="0.2">
      <c r="A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163"/>
      <c r="AV180" s="163"/>
      <c r="AW180" s="163"/>
      <c r="AX180" s="163"/>
      <c r="AY180" s="163"/>
      <c r="AZ180" s="163"/>
    </row>
    <row r="181" spans="1:52" x14ac:dyDescent="0.2">
      <c r="A181" s="163"/>
      <c r="Y181" s="163"/>
      <c r="Z181" s="163"/>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163"/>
      <c r="AV181" s="163"/>
      <c r="AW181" s="163"/>
      <c r="AX181" s="163"/>
      <c r="AY181" s="163"/>
      <c r="AZ181" s="163"/>
    </row>
    <row r="182" spans="1:52" x14ac:dyDescent="0.2">
      <c r="A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c r="AW182" s="163"/>
      <c r="AX182" s="163"/>
      <c r="AY182" s="163"/>
      <c r="AZ182" s="163"/>
    </row>
    <row r="183" spans="1:52" x14ac:dyDescent="0.2">
      <c r="A183" s="163"/>
      <c r="Y183" s="163"/>
      <c r="Z183" s="163"/>
      <c r="AA183" s="163"/>
      <c r="AB183" s="163"/>
      <c r="AC183" s="163"/>
      <c r="AD183" s="163"/>
      <c r="AE183" s="163"/>
      <c r="AF183" s="163"/>
      <c r="AG183" s="163"/>
      <c r="AH183" s="163"/>
      <c r="AI183" s="163"/>
      <c r="AJ183" s="163"/>
      <c r="AK183" s="163"/>
      <c r="AL183" s="163"/>
      <c r="AM183" s="163"/>
      <c r="AN183" s="163"/>
      <c r="AO183" s="163"/>
      <c r="AP183" s="163"/>
      <c r="AQ183" s="163"/>
      <c r="AR183" s="163"/>
      <c r="AS183" s="163"/>
      <c r="AT183" s="163"/>
      <c r="AU183" s="163"/>
      <c r="AV183" s="163"/>
      <c r="AW183" s="163"/>
      <c r="AX183" s="163"/>
      <c r="AY183" s="163"/>
      <c r="AZ183" s="163"/>
    </row>
    <row r="184" spans="1:52" x14ac:dyDescent="0.2">
      <c r="A184" s="163"/>
      <c r="Y184" s="163"/>
      <c r="Z184" s="163"/>
      <c r="AA184" s="163"/>
      <c r="AB184" s="163"/>
      <c r="AC184" s="163"/>
      <c r="AD184" s="163"/>
      <c r="AE184" s="163"/>
      <c r="AF184" s="163"/>
      <c r="AG184" s="163"/>
      <c r="AH184" s="163"/>
      <c r="AI184" s="163"/>
      <c r="AJ184" s="163"/>
      <c r="AK184" s="163"/>
      <c r="AL184" s="163"/>
      <c r="AM184" s="163"/>
      <c r="AN184" s="163"/>
      <c r="AO184" s="163"/>
      <c r="AP184" s="163"/>
      <c r="AQ184" s="163"/>
      <c r="AR184" s="163"/>
      <c r="AS184" s="163"/>
      <c r="AT184" s="163"/>
      <c r="AU184" s="163"/>
      <c r="AV184" s="163"/>
      <c r="AW184" s="163"/>
      <c r="AX184" s="163"/>
      <c r="AY184" s="163"/>
      <c r="AZ184" s="163"/>
    </row>
    <row r="185" spans="1:52" x14ac:dyDescent="0.2">
      <c r="A185" s="163"/>
      <c r="Y185" s="163"/>
      <c r="Z185" s="163"/>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c r="AW185" s="163"/>
      <c r="AX185" s="163"/>
      <c r="AY185" s="163"/>
      <c r="AZ185" s="163"/>
    </row>
    <row r="186" spans="1:52" x14ac:dyDescent="0.2">
      <c r="A186" s="163"/>
      <c r="Y186" s="163"/>
      <c r="Z186" s="163"/>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c r="AW186" s="163"/>
      <c r="AX186" s="163"/>
      <c r="AY186" s="163"/>
      <c r="AZ186" s="163"/>
    </row>
    <row r="187" spans="1:52" x14ac:dyDescent="0.2">
      <c r="A187" s="163"/>
      <c r="Y187" s="163"/>
      <c r="Z187" s="163"/>
      <c r="AA187" s="163"/>
      <c r="AB187" s="163"/>
      <c r="AC187" s="163"/>
      <c r="AD187" s="163"/>
      <c r="AE187" s="163"/>
      <c r="AF187" s="163"/>
      <c r="AG187" s="163"/>
      <c r="AH187" s="163"/>
      <c r="AI187" s="163"/>
      <c r="AJ187" s="163"/>
      <c r="AK187" s="163"/>
      <c r="AL187" s="163"/>
      <c r="AM187" s="163"/>
      <c r="AN187" s="163"/>
      <c r="AO187" s="163"/>
      <c r="AP187" s="163"/>
      <c r="AQ187" s="163"/>
      <c r="AR187" s="163"/>
      <c r="AS187" s="163"/>
      <c r="AT187" s="163"/>
      <c r="AU187" s="163"/>
      <c r="AV187" s="163"/>
      <c r="AW187" s="163"/>
      <c r="AX187" s="163"/>
      <c r="AY187" s="163"/>
      <c r="AZ187" s="163"/>
    </row>
    <row r="188" spans="1:52" x14ac:dyDescent="0.2">
      <c r="A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163"/>
    </row>
    <row r="189" spans="1:52" x14ac:dyDescent="0.2">
      <c r="A189" s="163"/>
      <c r="Y189" s="163"/>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3"/>
      <c r="AV189" s="163"/>
      <c r="AW189" s="163"/>
      <c r="AX189" s="163"/>
      <c r="AY189" s="163"/>
      <c r="AZ189" s="163"/>
    </row>
    <row r="190" spans="1:52" x14ac:dyDescent="0.2">
      <c r="A190" s="163"/>
      <c r="Y190" s="163"/>
      <c r="Z190" s="163"/>
      <c r="AA190" s="163"/>
      <c r="AB190" s="163"/>
      <c r="AC190" s="163"/>
      <c r="AD190" s="163"/>
      <c r="AE190" s="163"/>
      <c r="AF190" s="163"/>
      <c r="AG190" s="163"/>
      <c r="AH190" s="163"/>
      <c r="AI190" s="163"/>
      <c r="AJ190" s="163"/>
      <c r="AK190" s="163"/>
      <c r="AL190" s="163"/>
      <c r="AM190" s="163"/>
      <c r="AN190" s="163"/>
      <c r="AO190" s="163"/>
      <c r="AP190" s="163"/>
      <c r="AQ190" s="163"/>
      <c r="AR190" s="163"/>
      <c r="AS190" s="163"/>
      <c r="AT190" s="163"/>
      <c r="AU190" s="163"/>
      <c r="AV190" s="163"/>
      <c r="AW190" s="163"/>
      <c r="AX190" s="163"/>
      <c r="AY190" s="163"/>
      <c r="AZ190" s="163"/>
    </row>
    <row r="191" spans="1:52" x14ac:dyDescent="0.2">
      <c r="A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row>
    <row r="192" spans="1:52" x14ac:dyDescent="0.2">
      <c r="A192" s="163"/>
      <c r="Y192" s="163"/>
      <c r="Z192" s="163"/>
      <c r="AA192" s="163"/>
      <c r="AB192" s="163"/>
      <c r="AC192" s="163"/>
      <c r="AD192" s="163"/>
      <c r="AE192" s="163"/>
      <c r="AF192" s="163"/>
      <c r="AG192" s="163"/>
      <c r="AH192" s="163"/>
      <c r="AI192" s="163"/>
      <c r="AJ192" s="163"/>
      <c r="AK192" s="163"/>
      <c r="AL192" s="163"/>
      <c r="AM192" s="163"/>
      <c r="AN192" s="163"/>
      <c r="AO192" s="163"/>
      <c r="AP192" s="163"/>
      <c r="AQ192" s="163"/>
      <c r="AR192" s="163"/>
      <c r="AS192" s="163"/>
      <c r="AT192" s="163"/>
      <c r="AU192" s="163"/>
      <c r="AV192" s="163"/>
      <c r="AW192" s="163"/>
      <c r="AX192" s="163"/>
      <c r="AY192" s="163"/>
      <c r="AZ192" s="163"/>
    </row>
    <row r="193" spans="1:52" x14ac:dyDescent="0.2">
      <c r="A193" s="163"/>
      <c r="Y193" s="163"/>
      <c r="Z193" s="163"/>
      <c r="AA193" s="163"/>
      <c r="AB193" s="163"/>
      <c r="AC193" s="163"/>
      <c r="AD193" s="163"/>
      <c r="AE193" s="163"/>
      <c r="AF193" s="163"/>
      <c r="AG193" s="163"/>
      <c r="AH193" s="163"/>
      <c r="AI193" s="163"/>
      <c r="AJ193" s="163"/>
      <c r="AK193" s="163"/>
      <c r="AL193" s="163"/>
      <c r="AM193" s="163"/>
      <c r="AN193" s="163"/>
      <c r="AO193" s="163"/>
      <c r="AP193" s="163"/>
      <c r="AQ193" s="163"/>
      <c r="AR193" s="163"/>
      <c r="AS193" s="163"/>
      <c r="AT193" s="163"/>
      <c r="AU193" s="163"/>
      <c r="AV193" s="163"/>
      <c r="AW193" s="163"/>
      <c r="AX193" s="163"/>
      <c r="AY193" s="163"/>
      <c r="AZ193" s="163"/>
    </row>
    <row r="194" spans="1:52" x14ac:dyDescent="0.2">
      <c r="A194" s="163"/>
      <c r="Y194" s="163"/>
      <c r="Z194" s="163"/>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c r="AW194" s="163"/>
      <c r="AX194" s="163"/>
      <c r="AY194" s="163"/>
      <c r="AZ194" s="163"/>
    </row>
    <row r="195" spans="1:52" x14ac:dyDescent="0.2">
      <c r="A195" s="163"/>
      <c r="Y195" s="163"/>
      <c r="Z195" s="163"/>
      <c r="AA195" s="163"/>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c r="AW195" s="163"/>
      <c r="AX195" s="163"/>
      <c r="AY195" s="163"/>
      <c r="AZ195" s="163"/>
    </row>
    <row r="196" spans="1:52" x14ac:dyDescent="0.2">
      <c r="A196" s="163"/>
      <c r="Y196" s="163"/>
      <c r="Z196" s="163"/>
      <c r="AA196" s="163"/>
      <c r="AB196" s="163"/>
      <c r="AC196" s="163"/>
      <c r="AD196" s="163"/>
      <c r="AE196" s="163"/>
      <c r="AF196" s="163"/>
      <c r="AG196" s="163"/>
      <c r="AH196" s="163"/>
      <c r="AI196" s="163"/>
      <c r="AJ196" s="163"/>
      <c r="AK196" s="163"/>
      <c r="AL196" s="163"/>
      <c r="AM196" s="163"/>
      <c r="AN196" s="163"/>
      <c r="AO196" s="163"/>
      <c r="AP196" s="163"/>
      <c r="AQ196" s="163"/>
      <c r="AR196" s="163"/>
      <c r="AS196" s="163"/>
      <c r="AT196" s="163"/>
      <c r="AU196" s="163"/>
      <c r="AV196" s="163"/>
      <c r="AW196" s="163"/>
      <c r="AX196" s="163"/>
      <c r="AY196" s="163"/>
      <c r="AZ196" s="163"/>
    </row>
    <row r="197" spans="1:52" x14ac:dyDescent="0.2">
      <c r="A197" s="163"/>
      <c r="Y197" s="163"/>
      <c r="Z197" s="163"/>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c r="AW197" s="163"/>
      <c r="AX197" s="163"/>
      <c r="AY197" s="163"/>
      <c r="AZ197" s="163"/>
    </row>
    <row r="198" spans="1:52" x14ac:dyDescent="0.2">
      <c r="A198" s="163"/>
      <c r="Y198" s="163"/>
      <c r="Z198" s="163"/>
      <c r="AA198" s="163"/>
      <c r="AB198" s="163"/>
      <c r="AC198" s="163"/>
      <c r="AD198" s="163"/>
      <c r="AE198" s="163"/>
      <c r="AF198" s="163"/>
      <c r="AG198" s="163"/>
      <c r="AH198" s="163"/>
      <c r="AI198" s="163"/>
      <c r="AJ198" s="163"/>
      <c r="AK198" s="163"/>
      <c r="AL198" s="163"/>
      <c r="AM198" s="163"/>
      <c r="AN198" s="163"/>
      <c r="AO198" s="163"/>
      <c r="AP198" s="163"/>
      <c r="AQ198" s="163"/>
      <c r="AR198" s="163"/>
      <c r="AS198" s="163"/>
      <c r="AT198" s="163"/>
      <c r="AU198" s="163"/>
      <c r="AV198" s="163"/>
      <c r="AW198" s="163"/>
      <c r="AX198" s="163"/>
      <c r="AY198" s="163"/>
      <c r="AZ198" s="163"/>
    </row>
    <row r="199" spans="1:52" x14ac:dyDescent="0.2">
      <c r="A199" s="163"/>
      <c r="Y199" s="163"/>
      <c r="Z199" s="163"/>
      <c r="AA199" s="163"/>
      <c r="AB199" s="163"/>
      <c r="AC199" s="163"/>
      <c r="AD199" s="163"/>
      <c r="AE199" s="163"/>
      <c r="AF199" s="163"/>
      <c r="AG199" s="163"/>
      <c r="AH199" s="163"/>
      <c r="AI199" s="163"/>
      <c r="AJ199" s="163"/>
      <c r="AK199" s="163"/>
      <c r="AL199" s="163"/>
      <c r="AM199" s="163"/>
      <c r="AN199" s="163"/>
      <c r="AO199" s="163"/>
      <c r="AP199" s="163"/>
      <c r="AQ199" s="163"/>
      <c r="AR199" s="163"/>
      <c r="AS199" s="163"/>
      <c r="AT199" s="163"/>
      <c r="AU199" s="163"/>
      <c r="AV199" s="163"/>
      <c r="AW199" s="163"/>
      <c r="AX199" s="163"/>
      <c r="AY199" s="163"/>
      <c r="AZ199" s="163"/>
    </row>
    <row r="200" spans="1:52" x14ac:dyDescent="0.2">
      <c r="A200" s="163"/>
      <c r="Y200" s="163"/>
      <c r="Z200" s="163"/>
      <c r="AA200" s="163"/>
      <c r="AB200" s="163"/>
      <c r="AC200" s="163"/>
      <c r="AD200" s="163"/>
      <c r="AE200" s="163"/>
      <c r="AF200" s="163"/>
      <c r="AG200" s="163"/>
      <c r="AH200" s="163"/>
      <c r="AI200" s="163"/>
      <c r="AJ200" s="163"/>
      <c r="AK200" s="163"/>
      <c r="AL200" s="163"/>
      <c r="AM200" s="163"/>
      <c r="AN200" s="163"/>
      <c r="AO200" s="163"/>
      <c r="AP200" s="163"/>
      <c r="AQ200" s="163"/>
      <c r="AR200" s="163"/>
      <c r="AS200" s="163"/>
      <c r="AT200" s="163"/>
      <c r="AU200" s="163"/>
      <c r="AV200" s="163"/>
      <c r="AW200" s="163"/>
      <c r="AX200" s="163"/>
      <c r="AY200" s="163"/>
      <c r="AZ200" s="163"/>
    </row>
    <row r="201" spans="1:52" x14ac:dyDescent="0.2">
      <c r="A201" s="163"/>
      <c r="Y201" s="163"/>
      <c r="Z201" s="163"/>
      <c r="AA201" s="163"/>
      <c r="AB201" s="163"/>
      <c r="AC201" s="163"/>
      <c r="AD201" s="163"/>
      <c r="AE201" s="163"/>
      <c r="AF201" s="163"/>
      <c r="AG201" s="163"/>
      <c r="AH201" s="163"/>
      <c r="AI201" s="163"/>
      <c r="AJ201" s="163"/>
      <c r="AK201" s="163"/>
      <c r="AL201" s="163"/>
      <c r="AM201" s="163"/>
      <c r="AN201" s="163"/>
      <c r="AO201" s="163"/>
      <c r="AP201" s="163"/>
      <c r="AQ201" s="163"/>
      <c r="AR201" s="163"/>
      <c r="AS201" s="163"/>
      <c r="AT201" s="163"/>
      <c r="AU201" s="163"/>
      <c r="AV201" s="163"/>
      <c r="AW201" s="163"/>
      <c r="AX201" s="163"/>
      <c r="AY201" s="163"/>
      <c r="AZ201" s="163"/>
    </row>
    <row r="202" spans="1:52" x14ac:dyDescent="0.2">
      <c r="A202" s="163"/>
      <c r="Y202" s="163"/>
      <c r="Z202" s="163"/>
      <c r="AA202" s="163"/>
      <c r="AB202" s="163"/>
      <c r="AC202" s="163"/>
      <c r="AD202" s="163"/>
      <c r="AE202" s="163"/>
      <c r="AF202" s="163"/>
      <c r="AG202" s="163"/>
      <c r="AH202" s="163"/>
      <c r="AI202" s="163"/>
      <c r="AJ202" s="163"/>
      <c r="AK202" s="163"/>
      <c r="AL202" s="163"/>
      <c r="AM202" s="163"/>
      <c r="AN202" s="163"/>
      <c r="AO202" s="163"/>
      <c r="AP202" s="163"/>
      <c r="AQ202" s="163"/>
      <c r="AR202" s="163"/>
      <c r="AS202" s="163"/>
      <c r="AT202" s="163"/>
      <c r="AU202" s="163"/>
      <c r="AV202" s="163"/>
      <c r="AW202" s="163"/>
      <c r="AX202" s="163"/>
      <c r="AY202" s="163"/>
      <c r="AZ202" s="163"/>
    </row>
    <row r="203" spans="1:52" x14ac:dyDescent="0.2">
      <c r="A203" s="163"/>
      <c r="Y203" s="163"/>
      <c r="Z203" s="163"/>
      <c r="AA203" s="163"/>
      <c r="AB203" s="163"/>
      <c r="AC203" s="163"/>
      <c r="AD203" s="163"/>
      <c r="AE203" s="163"/>
      <c r="AF203" s="163"/>
      <c r="AG203" s="163"/>
      <c r="AH203" s="163"/>
      <c r="AI203" s="163"/>
      <c r="AJ203" s="163"/>
      <c r="AK203" s="163"/>
      <c r="AL203" s="163"/>
      <c r="AM203" s="163"/>
      <c r="AN203" s="163"/>
      <c r="AO203" s="163"/>
      <c r="AP203" s="163"/>
      <c r="AQ203" s="163"/>
      <c r="AR203" s="163"/>
      <c r="AS203" s="163"/>
      <c r="AT203" s="163"/>
      <c r="AU203" s="163"/>
      <c r="AV203" s="163"/>
      <c r="AW203" s="163"/>
      <c r="AX203" s="163"/>
      <c r="AY203" s="163"/>
      <c r="AZ203" s="163"/>
    </row>
    <row r="204" spans="1:52" x14ac:dyDescent="0.2">
      <c r="A204" s="163"/>
      <c r="Y204" s="163"/>
      <c r="Z204" s="163"/>
      <c r="AA204" s="163"/>
      <c r="AB204" s="163"/>
      <c r="AC204" s="163"/>
      <c r="AD204" s="163"/>
      <c r="AE204" s="163"/>
      <c r="AF204" s="163"/>
      <c r="AG204" s="163"/>
      <c r="AH204" s="163"/>
      <c r="AI204" s="163"/>
      <c r="AJ204" s="163"/>
      <c r="AK204" s="163"/>
      <c r="AL204" s="163"/>
      <c r="AM204" s="163"/>
      <c r="AN204" s="163"/>
      <c r="AO204" s="163"/>
      <c r="AP204" s="163"/>
      <c r="AQ204" s="163"/>
      <c r="AR204" s="163"/>
      <c r="AS204" s="163"/>
      <c r="AT204" s="163"/>
      <c r="AU204" s="163"/>
      <c r="AV204" s="163"/>
      <c r="AW204" s="163"/>
      <c r="AX204" s="163"/>
      <c r="AY204" s="163"/>
      <c r="AZ204" s="163"/>
    </row>
    <row r="205" spans="1:52" x14ac:dyDescent="0.2">
      <c r="A205" s="163"/>
      <c r="Y205" s="163"/>
      <c r="Z205" s="163"/>
      <c r="AA205" s="163"/>
      <c r="AB205" s="163"/>
      <c r="AC205" s="163"/>
      <c r="AD205" s="163"/>
      <c r="AE205" s="163"/>
      <c r="AF205" s="163"/>
      <c r="AG205" s="163"/>
      <c r="AH205" s="163"/>
      <c r="AI205" s="163"/>
      <c r="AJ205" s="163"/>
      <c r="AK205" s="163"/>
      <c r="AL205" s="163"/>
      <c r="AM205" s="163"/>
      <c r="AN205" s="163"/>
      <c r="AO205" s="163"/>
      <c r="AP205" s="163"/>
      <c r="AQ205" s="163"/>
      <c r="AR205" s="163"/>
      <c r="AS205" s="163"/>
      <c r="AT205" s="163"/>
      <c r="AU205" s="163"/>
      <c r="AV205" s="163"/>
      <c r="AW205" s="163"/>
      <c r="AX205" s="163"/>
      <c r="AY205" s="163"/>
      <c r="AZ205" s="163"/>
    </row>
  </sheetData>
  <sheetProtection algorithmName="SHA-512" hashValue="wK+tm7lzbIVCXQ2ISH7T4dlHxP0cbaWbfDdI+ZOnytMn3sNrtXtVySqeews8R9DQdFTlAM0lN0oWHU2MfDnZ4w==" saltValue="hlmTaF0PQ4p+FptSXx4gTA==" spinCount="100000" sheet="1" selectLockedCells="1"/>
  <mergeCells count="3">
    <mergeCell ref="G4:P4"/>
    <mergeCell ref="B2:U2"/>
    <mergeCell ref="B1:G1"/>
  </mergeCells>
  <phoneticPr fontId="8" type="noConversion"/>
  <conditionalFormatting sqref="G6:I55 L6:P55">
    <cfRule type="expression" dxfId="146" priority="31">
      <formula>OR($E6="", $F6=0)</formula>
    </cfRule>
  </conditionalFormatting>
  <dataValidations count="1">
    <dataValidation type="list" allowBlank="1" showInputMessage="1" showErrorMessage="1" sqref="I6:I55" xr:uid="{273AF6AD-212B-483E-BEA0-613DBDFA8303}">
      <formula1>List_Y_N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C07D96C7-5B89-48BB-9866-A4EA4750BB35}">
          <x14:formula1>
            <xm:f>References!$N$103:$N$115</xm:f>
          </x14:formula1>
          <xm:sqref>E4</xm:sqref>
        </x14:dataValidation>
        <x14:dataValidation type="list" allowBlank="1" showInputMessage="1" showErrorMessage="1" xr:uid="{08CA6BE4-C094-4F5A-8EE3-F38FEDD289E8}">
          <x14:formula1>
            <xm:f>References!$G$4:$G$21</xm:f>
          </x14:formula1>
          <xm:sqref>E6:E55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617D-6A19-4205-A5A1-DD58684D9FF3}">
  <sheetPr>
    <tabColor theme="1"/>
  </sheetPr>
  <dimension ref="A1:AV205"/>
  <sheetViews>
    <sheetView showGridLines="0" showRowColHeaders="0" workbookViewId="0">
      <selection activeCell="E4" sqref="E4"/>
    </sheetView>
  </sheetViews>
  <sheetFormatPr defaultColWidth="9.140625" defaultRowHeight="12.75" customHeight="1" x14ac:dyDescent="0.2"/>
  <cols>
    <col min="1" max="1" width="2.140625" style="160" customWidth="1"/>
    <col min="2" max="2" width="6.42578125" style="160" customWidth="1"/>
    <col min="3" max="3" width="9.5703125" style="160" customWidth="1"/>
    <col min="4" max="4" width="20.140625" style="160" bestFit="1" customWidth="1"/>
    <col min="5" max="5" width="47.7109375" style="160" customWidth="1"/>
    <col min="6" max="6" width="19.7109375" style="164" customWidth="1"/>
    <col min="7" max="11" width="11.85546875" style="160" customWidth="1"/>
    <col min="12" max="12" width="11.140625" style="160" customWidth="1"/>
    <col min="13" max="13" width="10" style="160" customWidth="1"/>
    <col min="14" max="14" width="11" style="160" customWidth="1"/>
    <col min="15" max="15" width="12" style="160" customWidth="1"/>
    <col min="16" max="16" width="11.85546875" style="160" customWidth="1"/>
    <col min="17" max="17" width="10.28515625" style="160" customWidth="1"/>
    <col min="18" max="18" width="12.28515625" style="160" customWidth="1"/>
    <col min="19" max="19" width="13.42578125" style="160" customWidth="1"/>
    <col min="20" max="20" width="9.5703125" style="160" customWidth="1"/>
    <col min="21" max="16384" width="9.140625" style="160"/>
  </cols>
  <sheetData>
    <row r="1" spans="1:48" ht="66.75" customHeight="1" x14ac:dyDescent="0.2">
      <c r="B1" s="331"/>
      <c r="C1" s="331"/>
      <c r="D1" s="331"/>
      <c r="E1" s="331"/>
      <c r="F1" s="331"/>
    </row>
    <row r="2" spans="1:48" ht="37.5" customHeight="1" x14ac:dyDescent="0.2">
      <c r="B2" s="321" t="s">
        <v>481</v>
      </c>
      <c r="C2" s="321"/>
      <c r="D2" s="321"/>
      <c r="E2" s="321"/>
      <c r="F2" s="321"/>
      <c r="G2" s="321"/>
      <c r="H2" s="321"/>
      <c r="I2" s="321"/>
      <c r="J2" s="321"/>
      <c r="K2" s="321"/>
      <c r="L2" s="321"/>
      <c r="M2" s="321"/>
      <c r="N2" s="321"/>
      <c r="O2" s="321"/>
      <c r="P2" s="321"/>
      <c r="Q2" s="321"/>
      <c r="R2" s="162"/>
      <c r="S2" s="162"/>
      <c r="T2" s="162"/>
    </row>
    <row r="3" spans="1:48" x14ac:dyDescent="0.2">
      <c r="F3" s="160"/>
      <c r="N3" s="163"/>
    </row>
    <row r="4" spans="1:48" x14ac:dyDescent="0.2">
      <c r="A4" s="163"/>
      <c r="D4" s="161" t="s">
        <v>358</v>
      </c>
      <c r="E4" s="294"/>
      <c r="G4" s="329" t="s">
        <v>22</v>
      </c>
      <c r="H4" s="329"/>
      <c r="I4" s="329"/>
      <c r="J4" s="329"/>
      <c r="K4" s="329"/>
      <c r="L4" s="329"/>
      <c r="M4" s="179" t="s">
        <v>23</v>
      </c>
      <c r="N4" s="180">
        <f>SUM(N$6:N$55)</f>
        <v>0</v>
      </c>
      <c r="O4" s="181">
        <f>SUM(O$6:O$55)</f>
        <v>0</v>
      </c>
      <c r="P4" s="182">
        <f>SUM(P$6:P$55)</f>
        <v>0</v>
      </c>
      <c r="Q4" s="183">
        <f>SUM(Q$6:Q$55)</f>
        <v>0</v>
      </c>
      <c r="R4" s="183">
        <f>SUM(Table_PrescriptLights_Input5[Gross measure cost])</f>
        <v>0</v>
      </c>
      <c r="S4" s="183">
        <f>SUM(S$6:S$55)</f>
        <v>0</v>
      </c>
      <c r="T4" s="181" t="str">
        <f>IFERROR(S4/Q4,"")</f>
        <v/>
      </c>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row>
    <row r="5" spans="1:48" ht="51" x14ac:dyDescent="0.2">
      <c r="A5" s="165"/>
      <c r="B5" s="166" t="s">
        <v>359</v>
      </c>
      <c r="C5" s="167" t="s">
        <v>360</v>
      </c>
      <c r="D5" s="168" t="s">
        <v>361</v>
      </c>
      <c r="E5" s="167" t="s">
        <v>378</v>
      </c>
      <c r="F5" s="169" t="s">
        <v>363</v>
      </c>
      <c r="G5" s="177" t="s">
        <v>364</v>
      </c>
      <c r="H5" s="177" t="s">
        <v>365</v>
      </c>
      <c r="I5" s="177" t="s">
        <v>379</v>
      </c>
      <c r="J5" s="177" t="s">
        <v>380</v>
      </c>
      <c r="K5" s="177" t="s">
        <v>381</v>
      </c>
      <c r="L5" s="178" t="s">
        <v>475</v>
      </c>
      <c r="M5" s="169" t="s">
        <v>370</v>
      </c>
      <c r="N5" s="169" t="s">
        <v>371</v>
      </c>
      <c r="O5" s="169" t="s">
        <v>372</v>
      </c>
      <c r="P5" s="169" t="s">
        <v>373</v>
      </c>
      <c r="Q5" s="169" t="s">
        <v>374</v>
      </c>
      <c r="R5" s="169" t="s">
        <v>375</v>
      </c>
      <c r="S5" s="169" t="s">
        <v>376</v>
      </c>
      <c r="T5" s="169" t="s">
        <v>377</v>
      </c>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row>
    <row r="6" spans="1:48" ht="15" x14ac:dyDescent="0.2">
      <c r="A6" s="170"/>
      <c r="B6" s="171">
        <v>1</v>
      </c>
      <c r="C6" s="172" t="str">
        <f>IFERROR(INDEX(Table_Prescript_Meas[Measure Number], MATCH(E6, Table_Prescript_Meas[Measure Description], 0)), "")</f>
        <v/>
      </c>
      <c r="D6" s="200"/>
      <c r="E6" s="201"/>
      <c r="F6" s="211" t="str">
        <f>IFERROR(INDEX(Table_Prescript_Meas[Units], MATCH(Table_PrescriptLights_Input5[[#This Row],[Measure number]], Table_Prescript_Meas[Measure Number], 0)), "")</f>
        <v/>
      </c>
      <c r="G6" s="203"/>
      <c r="H6" s="204"/>
      <c r="I6" s="212"/>
      <c r="J6" s="213"/>
      <c r="K6" s="213"/>
      <c r="L6" s="205"/>
      <c r="M6"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6" s="206" t="str">
        <f>IF(Table_PrescriptLights_Input5[[#This Row],[Unit capacity (tons)]]="","",IFERROR(Table_PrescriptLights_Input5[[#This Row],[Per-unit incentive]]*Table_PrescriptLights_Input5[[#This Row],[Unit capacity (tons)]]*Table_PrescriptLights_Input5[[#This Row],[Number of units]],""))</f>
        <v/>
      </c>
      <c r="O6" s="207" t="str">
        <f>IF(Table_PrescriptLights_Input5[[#This Row],[Unit capacity (tons)]]="","",Table_PrescriptLights_Input5[[#This Row],[Unit capacity (tons)]]*Table_PrescriptLights_Input5[[#This Row],[Number of units]]*Table_PrescriptLights_Input5[[#This Row],[Part load (IPLV) kW/ton]]*VLOOKUP($E$4,References!$N$103:$Q$115,2,FALSE)*0.05)</f>
        <v/>
      </c>
      <c r="P6" s="208" t="str">
        <f>IF(Table_PrescriptLights_Input5[[#This Row],[Unit capacity (tons)]]="","",Table_PrescriptLights_Input5[[#This Row],[Unit capacity (tons)]]*Table_PrescriptLights_Input5[[#This Row],[Number of units]]*Table_PrescriptLights_Input5[[#This Row],[Full load kW/ton]]*VLOOKUP($E$4,References!$N$103:$Q$115,4,FALSE)*0.05)</f>
        <v/>
      </c>
      <c r="Q6" s="206" t="str">
        <f>IFERROR(Table_PrescriptLights_Input5[[#This Row],[Energy savings (kWh)]]*Input_AvgkWhRate, "")</f>
        <v/>
      </c>
      <c r="R6" s="206" t="str">
        <f>IF(Table_PrescriptLights_Input5[[#This Row],[Unit capacity (tons)]]="", "",Table_PrescriptLights_Input5[[#This Row],[Total equipment + labor cost]])</f>
        <v/>
      </c>
      <c r="S6" s="206" t="str">
        <f>IFERROR(Table_PrescriptLights_Input5[[#This Row],[Gross measure cost]]-Table_PrescriptLights_Input5[[#This Row],[Estimated incentive]], "")</f>
        <v/>
      </c>
      <c r="T6" s="207" t="str">
        <f t="shared" ref="T6:T55" si="0">IFERROR($S6/$Q6,"")</f>
        <v/>
      </c>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row>
    <row r="7" spans="1:48" ht="15" x14ac:dyDescent="0.2">
      <c r="A7" s="170"/>
      <c r="B7" s="171">
        <v>2</v>
      </c>
      <c r="C7" s="172" t="str">
        <f>IFERROR(INDEX(Table_Prescript_Meas[Measure Number], MATCH(E7, Table_Prescript_Meas[Measure Description], 0)), "")</f>
        <v/>
      </c>
      <c r="D7" s="200"/>
      <c r="E7" s="201"/>
      <c r="F7" s="211" t="str">
        <f>IFERROR(INDEX(Table_Prescript_Meas[Units], MATCH(Table_PrescriptLights_Input5[[#This Row],[Measure number]], Table_Prescript_Meas[Measure Number], 0)), "")</f>
        <v/>
      </c>
      <c r="G7" s="203"/>
      <c r="H7" s="204"/>
      <c r="I7" s="212"/>
      <c r="J7" s="213"/>
      <c r="K7" s="213"/>
      <c r="L7" s="205"/>
      <c r="M7"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7" s="206" t="str">
        <f>IF(Table_PrescriptLights_Input5[[#This Row],[Unit capacity (tons)]]="","",IFERROR(Table_PrescriptLights_Input5[[#This Row],[Per-unit incentive]]*Table_PrescriptLights_Input5[[#This Row],[Unit capacity (tons)]]*Table_PrescriptLights_Input5[[#This Row],[Number of units]],""))</f>
        <v/>
      </c>
      <c r="O7" s="207" t="str">
        <f>IF(Table_PrescriptLights_Input5[[#This Row],[Unit capacity (tons)]]="","",Table_PrescriptLights_Input5[[#This Row],[Unit capacity (tons)]]*Table_PrescriptLights_Input5[[#This Row],[Number of units]]*Table_PrescriptLights_Input5[[#This Row],[Part load (IPLV) kW/ton]]*VLOOKUP($E$4,References!$N$103:$Q$115,2,FALSE)*0.05)</f>
        <v/>
      </c>
      <c r="P7" s="208" t="str">
        <f>IF(Table_PrescriptLights_Input5[[#This Row],[Unit capacity (tons)]]="","",Table_PrescriptLights_Input5[[#This Row],[Unit capacity (tons)]]*Table_PrescriptLights_Input5[[#This Row],[Number of units]]*Table_PrescriptLights_Input5[[#This Row],[Full load kW/ton]]*VLOOKUP($E$4,References!$N$103:$Q$115,4,FALSE)*0.05)</f>
        <v/>
      </c>
      <c r="Q7" s="206" t="str">
        <f>IFERROR(Table_PrescriptLights_Input5[[#This Row],[Energy savings (kWh)]]*Input_AvgkWhRate, "")</f>
        <v/>
      </c>
      <c r="R7" s="206" t="str">
        <f>IF(Table_PrescriptLights_Input5[[#This Row],[Unit capacity (tons)]]="", "",#REF!+Table_PrescriptLights_Input5[[#This Row],[Total equipment + labor cost]])</f>
        <v/>
      </c>
      <c r="S7" s="206" t="str">
        <f>IFERROR(Table_PrescriptLights_Input5[[#This Row],[Gross measure cost]]-Table_PrescriptLights_Input5[[#This Row],[Estimated incentive]], "")</f>
        <v/>
      </c>
      <c r="T7" s="207" t="str">
        <f t="shared" si="0"/>
        <v/>
      </c>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170"/>
      <c r="AV7" s="170"/>
    </row>
    <row r="8" spans="1:48" ht="18.75" customHeight="1" x14ac:dyDescent="0.2">
      <c r="A8" s="170"/>
      <c r="B8" s="171">
        <v>3</v>
      </c>
      <c r="C8" s="172" t="str">
        <f>IFERROR(INDEX(Table_Prescript_Meas[Measure Number], MATCH(E8, Table_Prescript_Meas[Measure Description], 0)), "")</f>
        <v/>
      </c>
      <c r="D8" s="200"/>
      <c r="E8" s="201"/>
      <c r="F8" s="211" t="str">
        <f>IFERROR(INDEX(Table_Prescript_Meas[Units], MATCH(Table_PrescriptLights_Input5[[#This Row],[Measure number]], Table_Prescript_Meas[Measure Number], 0)), "")</f>
        <v/>
      </c>
      <c r="G8" s="203"/>
      <c r="H8" s="204"/>
      <c r="I8" s="212"/>
      <c r="J8" s="213"/>
      <c r="K8" s="213"/>
      <c r="L8" s="205"/>
      <c r="M8"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8" s="206" t="str">
        <f>IF(Table_PrescriptLights_Input5[[#This Row],[Unit capacity (tons)]]="","",IFERROR(Table_PrescriptLights_Input5[[#This Row],[Per-unit incentive]]*Table_PrescriptLights_Input5[[#This Row],[Unit capacity (tons)]]*Table_PrescriptLights_Input5[[#This Row],[Number of units]],""))</f>
        <v/>
      </c>
      <c r="O8" s="207" t="str">
        <f>IF(Table_PrescriptLights_Input5[[#This Row],[Unit capacity (tons)]]="","",Table_PrescriptLights_Input5[[#This Row],[Unit capacity (tons)]]*Table_PrescriptLights_Input5[[#This Row],[Number of units]]*Table_PrescriptLights_Input5[[#This Row],[Part load (IPLV) kW/ton]]*VLOOKUP($E$4,References!$N$103:$Q$115,2,FALSE)*0.05)</f>
        <v/>
      </c>
      <c r="P8" s="208" t="str">
        <f>IF(Table_PrescriptLights_Input5[[#This Row],[Unit capacity (tons)]]="","",Table_PrescriptLights_Input5[[#This Row],[Unit capacity (tons)]]*Table_PrescriptLights_Input5[[#This Row],[Number of units]]*Table_PrescriptLights_Input5[[#This Row],[Full load kW/ton]]*VLOOKUP($E$4,References!$N$103:$Q$115,4,FALSE)*0.05)</f>
        <v/>
      </c>
      <c r="Q8" s="206" t="str">
        <f>IFERROR(Table_PrescriptLights_Input5[[#This Row],[Energy savings (kWh)]]*Input_AvgkWhRate, "")</f>
        <v/>
      </c>
      <c r="R8" s="206" t="str">
        <f>IF(Table_PrescriptLights_Input5[[#This Row],[Unit capacity (tons)]]="", "",#REF!+Table_PrescriptLights_Input5[[#This Row],[Total equipment + labor cost]])</f>
        <v/>
      </c>
      <c r="S8" s="206" t="str">
        <f>IFERROR(Table_PrescriptLights_Input5[[#This Row],[Gross measure cost]]-Table_PrescriptLights_Input5[[#This Row],[Estimated incentive]], "")</f>
        <v/>
      </c>
      <c r="T8" s="207" t="str">
        <f t="shared" si="0"/>
        <v/>
      </c>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row>
    <row r="9" spans="1:48" ht="15" x14ac:dyDescent="0.2">
      <c r="A9" s="170"/>
      <c r="B9" s="171">
        <v>4</v>
      </c>
      <c r="C9" s="172" t="str">
        <f>IFERROR(INDEX(Table_Prescript_Meas[Measure Number], MATCH(E9, Table_Prescript_Meas[Measure Description], 0)), "")</f>
        <v/>
      </c>
      <c r="D9" s="200"/>
      <c r="E9" s="201"/>
      <c r="F9" s="211" t="str">
        <f>IFERROR(INDEX(Table_Prescript_Meas[Units], MATCH(Table_PrescriptLights_Input5[[#This Row],[Measure number]], Table_Prescript_Meas[Measure Number], 0)), "")</f>
        <v/>
      </c>
      <c r="G9" s="203"/>
      <c r="H9" s="204"/>
      <c r="I9" s="212"/>
      <c r="J9" s="213"/>
      <c r="K9" s="213"/>
      <c r="L9" s="205"/>
      <c r="M9"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9" s="206" t="str">
        <f>IF(Table_PrescriptLights_Input5[[#This Row],[Unit capacity (tons)]]="","",IFERROR(Table_PrescriptLights_Input5[[#This Row],[Per-unit incentive]]*Table_PrescriptLights_Input5[[#This Row],[Unit capacity (tons)]]*Table_PrescriptLights_Input5[[#This Row],[Number of units]],""))</f>
        <v/>
      </c>
      <c r="O9" s="207" t="str">
        <f>IF(Table_PrescriptLights_Input5[[#This Row],[Unit capacity (tons)]]="","",Table_PrescriptLights_Input5[[#This Row],[Unit capacity (tons)]]*Table_PrescriptLights_Input5[[#This Row],[Number of units]]*Table_PrescriptLights_Input5[[#This Row],[Part load (IPLV) kW/ton]]*VLOOKUP($E$4,References!$N$103:$Q$115,2,FALSE)*0.05)</f>
        <v/>
      </c>
      <c r="P9" s="208" t="str">
        <f>IF(Table_PrescriptLights_Input5[[#This Row],[Unit capacity (tons)]]="","",Table_PrescriptLights_Input5[[#This Row],[Unit capacity (tons)]]*Table_PrescriptLights_Input5[[#This Row],[Number of units]]*Table_PrescriptLights_Input5[[#This Row],[Full load kW/ton]]*VLOOKUP($E$4,References!$N$103:$Q$115,4,FALSE)*0.05)</f>
        <v/>
      </c>
      <c r="Q9" s="206" t="str">
        <f>IFERROR(Table_PrescriptLights_Input5[[#This Row],[Energy savings (kWh)]]*Input_AvgkWhRate, "")</f>
        <v/>
      </c>
      <c r="R9" s="206" t="str">
        <f>IF(Table_PrescriptLights_Input5[[#This Row],[Unit capacity (tons)]]="", "",#REF!+Table_PrescriptLights_Input5[[#This Row],[Total equipment + labor cost]])</f>
        <v/>
      </c>
      <c r="S9" s="206" t="str">
        <f>IFERROR(Table_PrescriptLights_Input5[[#This Row],[Gross measure cost]]-Table_PrescriptLights_Input5[[#This Row],[Estimated incentive]], "")</f>
        <v/>
      </c>
      <c r="T9" s="207" t="str">
        <f t="shared" si="0"/>
        <v/>
      </c>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row>
    <row r="10" spans="1:48" ht="15" x14ac:dyDescent="0.2">
      <c r="A10" s="170"/>
      <c r="B10" s="171">
        <v>5</v>
      </c>
      <c r="C10" s="172" t="str">
        <f>IFERROR(INDEX(Table_Prescript_Meas[Measure Number], MATCH(E10, Table_Prescript_Meas[Measure Description], 0)), "")</f>
        <v/>
      </c>
      <c r="D10" s="200"/>
      <c r="E10" s="201"/>
      <c r="F10" s="211" t="str">
        <f>IFERROR(INDEX(Table_Prescript_Meas[Units], MATCH(Table_PrescriptLights_Input5[[#This Row],[Measure number]], Table_Prescript_Meas[Measure Number], 0)), "")</f>
        <v/>
      </c>
      <c r="G10" s="203"/>
      <c r="H10" s="204"/>
      <c r="I10" s="212"/>
      <c r="J10" s="213"/>
      <c r="K10" s="213"/>
      <c r="L10" s="205"/>
      <c r="M10"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0" s="206" t="str">
        <f>IF(Table_PrescriptLights_Input5[[#This Row],[Unit capacity (tons)]]="","",IFERROR(Table_PrescriptLights_Input5[[#This Row],[Per-unit incentive]]*Table_PrescriptLights_Input5[[#This Row],[Unit capacity (tons)]]*Table_PrescriptLights_Input5[[#This Row],[Number of units]],""))</f>
        <v/>
      </c>
      <c r="O10" s="207" t="str">
        <f>IF(Table_PrescriptLights_Input5[[#This Row],[Unit capacity (tons)]]="","",Table_PrescriptLights_Input5[[#This Row],[Unit capacity (tons)]]*Table_PrescriptLights_Input5[[#This Row],[Number of units]]*Table_PrescriptLights_Input5[[#This Row],[Part load (IPLV) kW/ton]]*VLOOKUP($E$4,References!$N$103:$Q$115,2,FALSE)*0.05)</f>
        <v/>
      </c>
      <c r="P10" s="208" t="str">
        <f>IF(Table_PrescriptLights_Input5[[#This Row],[Unit capacity (tons)]]="","",Table_PrescriptLights_Input5[[#This Row],[Unit capacity (tons)]]*Table_PrescriptLights_Input5[[#This Row],[Number of units]]*Table_PrescriptLights_Input5[[#This Row],[Full load kW/ton]]*VLOOKUP($E$4,References!$N$103:$Q$115,4,FALSE)*0.05)</f>
        <v/>
      </c>
      <c r="Q10" s="206" t="str">
        <f>IFERROR(Table_PrescriptLights_Input5[[#This Row],[Energy savings (kWh)]]*Input_AvgkWhRate, "")</f>
        <v/>
      </c>
      <c r="R10" s="206" t="str">
        <f>IF(Table_PrescriptLights_Input5[[#This Row],[Unit capacity (tons)]]="", "",#REF!+Table_PrescriptLights_Input5[[#This Row],[Total equipment + labor cost]])</f>
        <v/>
      </c>
      <c r="S10" s="206" t="str">
        <f>IFERROR(Table_PrescriptLights_Input5[[#This Row],[Gross measure cost]]-Table_PrescriptLights_Input5[[#This Row],[Estimated incentive]], "")</f>
        <v/>
      </c>
      <c r="T10" s="207" t="str">
        <f t="shared" si="0"/>
        <v/>
      </c>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row>
    <row r="11" spans="1:48" ht="15" x14ac:dyDescent="0.2">
      <c r="A11" s="170"/>
      <c r="B11" s="171">
        <v>6</v>
      </c>
      <c r="C11" s="172" t="str">
        <f>IFERROR(INDEX(Table_Prescript_Meas[Measure Number], MATCH(E11, Table_Prescript_Meas[Measure Description], 0)), "")</f>
        <v/>
      </c>
      <c r="D11" s="200"/>
      <c r="E11" s="201"/>
      <c r="F11" s="211" t="str">
        <f>IFERROR(INDEX(Table_Prescript_Meas[Units], MATCH(Table_PrescriptLights_Input5[[#This Row],[Measure number]], Table_Prescript_Meas[Measure Number], 0)), "")</f>
        <v/>
      </c>
      <c r="G11" s="203"/>
      <c r="H11" s="204"/>
      <c r="I11" s="212"/>
      <c r="J11" s="213"/>
      <c r="K11" s="213"/>
      <c r="L11" s="205"/>
      <c r="M11"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1" s="206" t="str">
        <f>IF(Table_PrescriptLights_Input5[[#This Row],[Unit capacity (tons)]]="","",IFERROR(Table_PrescriptLights_Input5[[#This Row],[Per-unit incentive]]*Table_PrescriptLights_Input5[[#This Row],[Unit capacity (tons)]]*Table_PrescriptLights_Input5[[#This Row],[Number of units]],""))</f>
        <v/>
      </c>
      <c r="O11" s="207" t="str">
        <f>IF(Table_PrescriptLights_Input5[[#This Row],[Unit capacity (tons)]]="","",Table_PrescriptLights_Input5[[#This Row],[Unit capacity (tons)]]*Table_PrescriptLights_Input5[[#This Row],[Number of units]]*Table_PrescriptLights_Input5[[#This Row],[Part load (IPLV) kW/ton]]*VLOOKUP($E$4,References!$N$103:$Q$115,2,FALSE)*0.05)</f>
        <v/>
      </c>
      <c r="P11" s="208" t="str">
        <f>IF(Table_PrescriptLights_Input5[[#This Row],[Unit capacity (tons)]]="","",Table_PrescriptLights_Input5[[#This Row],[Unit capacity (tons)]]*Table_PrescriptLights_Input5[[#This Row],[Number of units]]*Table_PrescriptLights_Input5[[#This Row],[Full load kW/ton]]*VLOOKUP($E$4,References!$N$103:$Q$115,4,FALSE)*0.05)</f>
        <v/>
      </c>
      <c r="Q11" s="206" t="str">
        <f>IFERROR(Table_PrescriptLights_Input5[[#This Row],[Energy savings (kWh)]]*Input_AvgkWhRate, "")</f>
        <v/>
      </c>
      <c r="R11" s="206" t="str">
        <f>IF(Table_PrescriptLights_Input5[[#This Row],[Unit capacity (tons)]]="", "",#REF!+Table_PrescriptLights_Input5[[#This Row],[Total equipment + labor cost]])</f>
        <v/>
      </c>
      <c r="S11" s="206" t="str">
        <f>IFERROR(Table_PrescriptLights_Input5[[#This Row],[Gross measure cost]]-Table_PrescriptLights_Input5[[#This Row],[Estimated incentive]], "")</f>
        <v/>
      </c>
      <c r="T11" s="207" t="str">
        <f t="shared" si="0"/>
        <v/>
      </c>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row>
    <row r="12" spans="1:48" ht="15" x14ac:dyDescent="0.2">
      <c r="A12" s="170"/>
      <c r="B12" s="171">
        <v>7</v>
      </c>
      <c r="C12" s="172" t="str">
        <f>IFERROR(INDEX(Table_Prescript_Meas[Measure Number], MATCH(E12, Table_Prescript_Meas[Measure Description], 0)), "")</f>
        <v/>
      </c>
      <c r="D12" s="200"/>
      <c r="E12" s="201"/>
      <c r="F12" s="211" t="str">
        <f>IFERROR(INDEX(Table_Prescript_Meas[Units], MATCH(Table_PrescriptLights_Input5[[#This Row],[Measure number]], Table_Prescript_Meas[Measure Number], 0)), "")</f>
        <v/>
      </c>
      <c r="G12" s="203"/>
      <c r="H12" s="204"/>
      <c r="I12" s="212"/>
      <c r="J12" s="213"/>
      <c r="K12" s="213"/>
      <c r="L12" s="205"/>
      <c r="M12"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2" s="206" t="str">
        <f>IF(Table_PrescriptLights_Input5[[#This Row],[Unit capacity (tons)]]="","",IFERROR(Table_PrescriptLights_Input5[[#This Row],[Per-unit incentive]]*Table_PrescriptLights_Input5[[#This Row],[Unit capacity (tons)]]*Table_PrescriptLights_Input5[[#This Row],[Number of units]],""))</f>
        <v/>
      </c>
      <c r="O12" s="207" t="str">
        <f>IF(Table_PrescriptLights_Input5[[#This Row],[Unit capacity (tons)]]="","",Table_PrescriptLights_Input5[[#This Row],[Unit capacity (tons)]]*Table_PrescriptLights_Input5[[#This Row],[Number of units]]*Table_PrescriptLights_Input5[[#This Row],[Part load (IPLV) kW/ton]]*VLOOKUP($E$4,References!$N$103:$Q$115,2,FALSE)*0.05)</f>
        <v/>
      </c>
      <c r="P12" s="208" t="str">
        <f>IF(Table_PrescriptLights_Input5[[#This Row],[Unit capacity (tons)]]="","",Table_PrescriptLights_Input5[[#This Row],[Unit capacity (tons)]]*Table_PrescriptLights_Input5[[#This Row],[Number of units]]*Table_PrescriptLights_Input5[[#This Row],[Full load kW/ton]]*VLOOKUP($E$4,References!$N$103:$Q$115,4,FALSE)*0.05)</f>
        <v/>
      </c>
      <c r="Q12" s="206" t="str">
        <f>IFERROR(Table_PrescriptLights_Input5[[#This Row],[Energy savings (kWh)]]*Input_AvgkWhRate, "")</f>
        <v/>
      </c>
      <c r="R12" s="206" t="str">
        <f>IF(Table_PrescriptLights_Input5[[#This Row],[Unit capacity (tons)]]="", "",#REF!+Table_PrescriptLights_Input5[[#This Row],[Total equipment + labor cost]])</f>
        <v/>
      </c>
      <c r="S12" s="206" t="str">
        <f>IFERROR(Table_PrescriptLights_Input5[[#This Row],[Gross measure cost]]-Table_PrescriptLights_Input5[[#This Row],[Estimated incentive]], "")</f>
        <v/>
      </c>
      <c r="T12" s="207" t="str">
        <f t="shared" si="0"/>
        <v/>
      </c>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row>
    <row r="13" spans="1:48" ht="15" x14ac:dyDescent="0.2">
      <c r="A13" s="170"/>
      <c r="B13" s="171">
        <v>8</v>
      </c>
      <c r="C13" s="172" t="str">
        <f>IFERROR(INDEX(Table_Prescript_Meas[Measure Number], MATCH(E13, Table_Prescript_Meas[Measure Description], 0)), "")</f>
        <v/>
      </c>
      <c r="D13" s="200"/>
      <c r="E13" s="201"/>
      <c r="F13" s="211" t="str">
        <f>IFERROR(INDEX(Table_Prescript_Meas[Units], MATCH(Table_PrescriptLights_Input5[[#This Row],[Measure number]], Table_Prescript_Meas[Measure Number], 0)), "")</f>
        <v/>
      </c>
      <c r="G13" s="203"/>
      <c r="H13" s="204"/>
      <c r="I13" s="212"/>
      <c r="J13" s="213"/>
      <c r="K13" s="213"/>
      <c r="L13" s="205"/>
      <c r="M13"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3" s="206" t="str">
        <f>IF(Table_PrescriptLights_Input5[[#This Row],[Unit capacity (tons)]]="","",IFERROR(Table_PrescriptLights_Input5[[#This Row],[Per-unit incentive]]*Table_PrescriptLights_Input5[[#This Row],[Unit capacity (tons)]]*Table_PrescriptLights_Input5[[#This Row],[Number of units]],""))</f>
        <v/>
      </c>
      <c r="O13" s="207" t="str">
        <f>IF(Table_PrescriptLights_Input5[[#This Row],[Unit capacity (tons)]]="","",Table_PrescriptLights_Input5[[#This Row],[Unit capacity (tons)]]*Table_PrescriptLights_Input5[[#This Row],[Number of units]]*Table_PrescriptLights_Input5[[#This Row],[Part load (IPLV) kW/ton]]*VLOOKUP($E$4,References!$N$103:$Q$115,2,FALSE)*0.05)</f>
        <v/>
      </c>
      <c r="P13" s="208" t="str">
        <f>IF(Table_PrescriptLights_Input5[[#This Row],[Unit capacity (tons)]]="","",Table_PrescriptLights_Input5[[#This Row],[Unit capacity (tons)]]*Table_PrescriptLights_Input5[[#This Row],[Number of units]]*Table_PrescriptLights_Input5[[#This Row],[Full load kW/ton]]*VLOOKUP($E$4,References!$N$103:$Q$115,4,FALSE)*0.05)</f>
        <v/>
      </c>
      <c r="Q13" s="206" t="str">
        <f>IFERROR(Table_PrescriptLights_Input5[[#This Row],[Energy savings (kWh)]]*Input_AvgkWhRate, "")</f>
        <v/>
      </c>
      <c r="R13" s="206" t="str">
        <f>IF(Table_PrescriptLights_Input5[[#This Row],[Unit capacity (tons)]]="", "",#REF!+Table_PrescriptLights_Input5[[#This Row],[Total equipment + labor cost]])</f>
        <v/>
      </c>
      <c r="S13" s="206" t="str">
        <f>IFERROR(Table_PrescriptLights_Input5[[#This Row],[Gross measure cost]]-Table_PrescriptLights_Input5[[#This Row],[Estimated incentive]], "")</f>
        <v/>
      </c>
      <c r="T13" s="207" t="str">
        <f t="shared" si="0"/>
        <v/>
      </c>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row>
    <row r="14" spans="1:48" ht="15" x14ac:dyDescent="0.2">
      <c r="A14" s="170"/>
      <c r="B14" s="171">
        <v>9</v>
      </c>
      <c r="C14" s="172" t="str">
        <f>IFERROR(INDEX(Table_Prescript_Meas[Measure Number], MATCH(E14, Table_Prescript_Meas[Measure Description], 0)), "")</f>
        <v/>
      </c>
      <c r="D14" s="200"/>
      <c r="E14" s="201"/>
      <c r="F14" s="211" t="str">
        <f>IFERROR(INDEX(Table_Prescript_Meas[Units], MATCH(Table_PrescriptLights_Input5[[#This Row],[Measure number]], Table_Prescript_Meas[Measure Number], 0)), "")</f>
        <v/>
      </c>
      <c r="G14" s="203"/>
      <c r="H14" s="204"/>
      <c r="I14" s="212"/>
      <c r="J14" s="213"/>
      <c r="K14" s="213"/>
      <c r="L14" s="205"/>
      <c r="M14"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4" s="206" t="str">
        <f>IF(Table_PrescriptLights_Input5[[#This Row],[Unit capacity (tons)]]="","",IFERROR(Table_PrescriptLights_Input5[[#This Row],[Per-unit incentive]]*Table_PrescriptLights_Input5[[#This Row],[Unit capacity (tons)]]*Table_PrescriptLights_Input5[[#This Row],[Number of units]],""))</f>
        <v/>
      </c>
      <c r="O14" s="207" t="str">
        <f>IF(Table_PrescriptLights_Input5[[#This Row],[Unit capacity (tons)]]="","",Table_PrescriptLights_Input5[[#This Row],[Unit capacity (tons)]]*Table_PrescriptLights_Input5[[#This Row],[Number of units]]*Table_PrescriptLights_Input5[[#This Row],[Part load (IPLV) kW/ton]]*VLOOKUP($E$4,References!$N$103:$Q$115,2,FALSE)*0.05)</f>
        <v/>
      </c>
      <c r="P14" s="208" t="str">
        <f>IF(Table_PrescriptLights_Input5[[#This Row],[Unit capacity (tons)]]="","",Table_PrescriptLights_Input5[[#This Row],[Unit capacity (tons)]]*Table_PrescriptLights_Input5[[#This Row],[Number of units]]*Table_PrescriptLights_Input5[[#This Row],[Full load kW/ton]]*VLOOKUP($E$4,References!$N$103:$Q$115,4,FALSE)*0.05)</f>
        <v/>
      </c>
      <c r="Q14" s="206" t="str">
        <f>IFERROR(Table_PrescriptLights_Input5[[#This Row],[Energy savings (kWh)]]*Input_AvgkWhRate, "")</f>
        <v/>
      </c>
      <c r="R14" s="206" t="str">
        <f>IF(Table_PrescriptLights_Input5[[#This Row],[Unit capacity (tons)]]="", "",#REF!+Table_PrescriptLights_Input5[[#This Row],[Total equipment + labor cost]])</f>
        <v/>
      </c>
      <c r="S14" s="206" t="str">
        <f>IFERROR(Table_PrescriptLights_Input5[[#This Row],[Gross measure cost]]-Table_PrescriptLights_Input5[[#This Row],[Estimated incentive]], "")</f>
        <v/>
      </c>
      <c r="T14" s="207" t="str">
        <f t="shared" si="0"/>
        <v/>
      </c>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row>
    <row r="15" spans="1:48" ht="15" x14ac:dyDescent="0.2">
      <c r="A15" s="170"/>
      <c r="B15" s="171">
        <v>10</v>
      </c>
      <c r="C15" s="172" t="str">
        <f>IFERROR(INDEX(Table_Prescript_Meas[Measure Number], MATCH(E15, Table_Prescript_Meas[Measure Description], 0)), "")</f>
        <v/>
      </c>
      <c r="D15" s="200"/>
      <c r="E15" s="201"/>
      <c r="F15" s="211" t="str">
        <f>IFERROR(INDEX(Table_Prescript_Meas[Units], MATCH(Table_PrescriptLights_Input5[[#This Row],[Measure number]], Table_Prescript_Meas[Measure Number], 0)), "")</f>
        <v/>
      </c>
      <c r="G15" s="203"/>
      <c r="H15" s="204"/>
      <c r="I15" s="212"/>
      <c r="J15" s="213"/>
      <c r="K15" s="213"/>
      <c r="L15" s="205"/>
      <c r="M15"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5" s="206" t="str">
        <f>IF(Table_PrescriptLights_Input5[[#This Row],[Unit capacity (tons)]]="","",IFERROR(Table_PrescriptLights_Input5[[#This Row],[Per-unit incentive]]*Table_PrescriptLights_Input5[[#This Row],[Unit capacity (tons)]]*Table_PrescriptLights_Input5[[#This Row],[Number of units]],""))</f>
        <v/>
      </c>
      <c r="O15" s="207" t="str">
        <f>IF(Table_PrescriptLights_Input5[[#This Row],[Unit capacity (tons)]]="","",Table_PrescriptLights_Input5[[#This Row],[Unit capacity (tons)]]*Table_PrescriptLights_Input5[[#This Row],[Number of units]]*Table_PrescriptLights_Input5[[#This Row],[Part load (IPLV) kW/ton]]*VLOOKUP($E$4,References!$N$103:$Q$115,2,FALSE)*0.05)</f>
        <v/>
      </c>
      <c r="P15" s="208" t="str">
        <f>IF(Table_PrescriptLights_Input5[[#This Row],[Unit capacity (tons)]]="","",Table_PrescriptLights_Input5[[#This Row],[Unit capacity (tons)]]*Table_PrescriptLights_Input5[[#This Row],[Number of units]]*Table_PrescriptLights_Input5[[#This Row],[Full load kW/ton]]*VLOOKUP($E$4,References!$N$103:$Q$115,4,FALSE)*0.05)</f>
        <v/>
      </c>
      <c r="Q15" s="206" t="str">
        <f>IFERROR(Table_PrescriptLights_Input5[[#This Row],[Energy savings (kWh)]]*Input_AvgkWhRate, "")</f>
        <v/>
      </c>
      <c r="R15" s="206" t="str">
        <f>IF(Table_PrescriptLights_Input5[[#This Row],[Unit capacity (tons)]]="", "",#REF!+Table_PrescriptLights_Input5[[#This Row],[Total equipment + labor cost]])</f>
        <v/>
      </c>
      <c r="S15" s="206" t="str">
        <f>IFERROR(Table_PrescriptLights_Input5[[#This Row],[Gross measure cost]]-Table_PrescriptLights_Input5[[#This Row],[Estimated incentive]], "")</f>
        <v/>
      </c>
      <c r="T15" s="207" t="str">
        <f t="shared" si="0"/>
        <v/>
      </c>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row>
    <row r="16" spans="1:48" ht="15" x14ac:dyDescent="0.2">
      <c r="A16" s="170"/>
      <c r="B16" s="171">
        <v>11</v>
      </c>
      <c r="C16" s="172" t="str">
        <f>IFERROR(INDEX(Table_Prescript_Meas[Measure Number], MATCH(E16, Table_Prescript_Meas[Measure Description], 0)), "")</f>
        <v/>
      </c>
      <c r="D16" s="200"/>
      <c r="E16" s="201"/>
      <c r="F16" s="211" t="str">
        <f>IFERROR(INDEX(Table_Prescript_Meas[Units], MATCH(Table_PrescriptLights_Input5[[#This Row],[Measure number]], Table_Prescript_Meas[Measure Number], 0)), "")</f>
        <v/>
      </c>
      <c r="G16" s="203"/>
      <c r="H16" s="204"/>
      <c r="I16" s="212"/>
      <c r="J16" s="213"/>
      <c r="K16" s="213"/>
      <c r="L16" s="205"/>
      <c r="M16"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6" s="206" t="str">
        <f>IF(Table_PrescriptLights_Input5[[#This Row],[Unit capacity (tons)]]="","",IFERROR(Table_PrescriptLights_Input5[[#This Row],[Per-unit incentive]]*Table_PrescriptLights_Input5[[#This Row],[Unit capacity (tons)]]*Table_PrescriptLights_Input5[[#This Row],[Number of units]],""))</f>
        <v/>
      </c>
      <c r="O16" s="207" t="str">
        <f>IF(Table_PrescriptLights_Input5[[#This Row],[Unit capacity (tons)]]="","",Table_PrescriptLights_Input5[[#This Row],[Unit capacity (tons)]]*Table_PrescriptLights_Input5[[#This Row],[Number of units]]*Table_PrescriptLights_Input5[[#This Row],[Part load (IPLV) kW/ton]]*VLOOKUP($E$4,References!$N$103:$Q$115,2,FALSE)*0.05)</f>
        <v/>
      </c>
      <c r="P16" s="208" t="str">
        <f>IF(Table_PrescriptLights_Input5[[#This Row],[Unit capacity (tons)]]="","",Table_PrescriptLights_Input5[[#This Row],[Unit capacity (tons)]]*Table_PrescriptLights_Input5[[#This Row],[Number of units]]*Table_PrescriptLights_Input5[[#This Row],[Full load kW/ton]]*VLOOKUP($E$4,References!$N$103:$Q$115,4,FALSE)*0.05)</f>
        <v/>
      </c>
      <c r="Q16" s="206" t="str">
        <f>IFERROR(Table_PrescriptLights_Input5[[#This Row],[Energy savings (kWh)]]*Input_AvgkWhRate, "")</f>
        <v/>
      </c>
      <c r="R16" s="206" t="str">
        <f>IF(Table_PrescriptLights_Input5[[#This Row],[Unit capacity (tons)]]="", "",#REF!+Table_PrescriptLights_Input5[[#This Row],[Total equipment + labor cost]])</f>
        <v/>
      </c>
      <c r="S16" s="206" t="str">
        <f>IFERROR(Table_PrescriptLights_Input5[[#This Row],[Gross measure cost]]-Table_PrescriptLights_Input5[[#This Row],[Estimated incentive]], "")</f>
        <v/>
      </c>
      <c r="T16" s="207" t="str">
        <f t="shared" si="0"/>
        <v/>
      </c>
      <c r="U16" s="170"/>
      <c r="V16" s="170"/>
      <c r="W16" s="170"/>
      <c r="X16" s="170"/>
      <c r="Y16" s="170"/>
      <c r="Z16" s="170"/>
      <c r="AA16" s="170"/>
      <c r="AB16" s="170"/>
      <c r="AC16" s="170"/>
      <c r="AD16" s="170"/>
      <c r="AE16" s="170"/>
      <c r="AF16" s="170"/>
      <c r="AG16" s="170"/>
      <c r="AH16" s="170"/>
      <c r="AI16" s="170"/>
      <c r="AJ16" s="170"/>
      <c r="AK16" s="170"/>
      <c r="AL16" s="170"/>
      <c r="AM16" s="170"/>
      <c r="AN16" s="170"/>
      <c r="AO16" s="170"/>
      <c r="AP16" s="170"/>
      <c r="AQ16" s="170"/>
      <c r="AR16" s="170"/>
      <c r="AS16" s="170"/>
      <c r="AT16" s="170"/>
      <c r="AU16" s="170"/>
      <c r="AV16" s="170"/>
    </row>
    <row r="17" spans="1:48" ht="15" x14ac:dyDescent="0.2">
      <c r="A17" s="170"/>
      <c r="B17" s="171">
        <v>12</v>
      </c>
      <c r="C17" s="172" t="str">
        <f>IFERROR(INDEX(Table_Prescript_Meas[Measure Number], MATCH(E17, Table_Prescript_Meas[Measure Description], 0)), "")</f>
        <v/>
      </c>
      <c r="D17" s="200"/>
      <c r="E17" s="201"/>
      <c r="F17" s="211" t="str">
        <f>IFERROR(INDEX(Table_Prescript_Meas[Units], MATCH(Table_PrescriptLights_Input5[[#This Row],[Measure number]], Table_Prescript_Meas[Measure Number], 0)), "")</f>
        <v/>
      </c>
      <c r="G17" s="203"/>
      <c r="H17" s="204"/>
      <c r="I17" s="212"/>
      <c r="J17" s="213"/>
      <c r="K17" s="213"/>
      <c r="L17" s="205"/>
      <c r="M17"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7" s="206" t="str">
        <f>IF(Table_PrescriptLights_Input5[[#This Row],[Unit capacity (tons)]]="","",IFERROR(Table_PrescriptLights_Input5[[#This Row],[Per-unit incentive]]*Table_PrescriptLights_Input5[[#This Row],[Unit capacity (tons)]]*Table_PrescriptLights_Input5[[#This Row],[Number of units]],""))</f>
        <v/>
      </c>
      <c r="O17" s="207" t="str">
        <f>IF(Table_PrescriptLights_Input5[[#This Row],[Unit capacity (tons)]]="","",Table_PrescriptLights_Input5[[#This Row],[Unit capacity (tons)]]*Table_PrescriptLights_Input5[[#This Row],[Number of units]]*Table_PrescriptLights_Input5[[#This Row],[Part load (IPLV) kW/ton]]*VLOOKUP($E$4,References!$N$103:$Q$115,2,FALSE)*0.05)</f>
        <v/>
      </c>
      <c r="P17" s="208" t="str">
        <f>IF(Table_PrescriptLights_Input5[[#This Row],[Unit capacity (tons)]]="","",Table_PrescriptLights_Input5[[#This Row],[Unit capacity (tons)]]*Table_PrescriptLights_Input5[[#This Row],[Number of units]]*Table_PrescriptLights_Input5[[#This Row],[Full load kW/ton]]*VLOOKUP($E$4,References!$N$103:$Q$115,4,FALSE)*0.05)</f>
        <v/>
      </c>
      <c r="Q17" s="206" t="str">
        <f>IFERROR(Table_PrescriptLights_Input5[[#This Row],[Energy savings (kWh)]]*Input_AvgkWhRate, "")</f>
        <v/>
      </c>
      <c r="R17" s="206" t="str">
        <f>IF(Table_PrescriptLights_Input5[[#This Row],[Unit capacity (tons)]]="", "",#REF!+Table_PrescriptLights_Input5[[#This Row],[Total equipment + labor cost]])</f>
        <v/>
      </c>
      <c r="S17" s="206" t="str">
        <f>IFERROR(Table_PrescriptLights_Input5[[#This Row],[Gross measure cost]]-Table_PrescriptLights_Input5[[#This Row],[Estimated incentive]], "")</f>
        <v/>
      </c>
      <c r="T17" s="207" t="str">
        <f t="shared" si="0"/>
        <v/>
      </c>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row>
    <row r="18" spans="1:48" ht="15" x14ac:dyDescent="0.2">
      <c r="A18" s="170"/>
      <c r="B18" s="171">
        <v>13</v>
      </c>
      <c r="C18" s="172" t="str">
        <f>IFERROR(INDEX(Table_Prescript_Meas[Measure Number], MATCH(E18, Table_Prescript_Meas[Measure Description], 0)), "")</f>
        <v/>
      </c>
      <c r="D18" s="200"/>
      <c r="E18" s="201"/>
      <c r="F18" s="211" t="str">
        <f>IFERROR(INDEX(Table_Prescript_Meas[Units], MATCH(Table_PrescriptLights_Input5[[#This Row],[Measure number]], Table_Prescript_Meas[Measure Number], 0)), "")</f>
        <v/>
      </c>
      <c r="G18" s="203"/>
      <c r="H18" s="204"/>
      <c r="I18" s="212"/>
      <c r="J18" s="213"/>
      <c r="K18" s="213"/>
      <c r="L18" s="205"/>
      <c r="M18"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8" s="206" t="str">
        <f>IF(Table_PrescriptLights_Input5[[#This Row],[Unit capacity (tons)]]="","",IFERROR(Table_PrescriptLights_Input5[[#This Row],[Per-unit incentive]]*Table_PrescriptLights_Input5[[#This Row],[Unit capacity (tons)]]*Table_PrescriptLights_Input5[[#This Row],[Number of units]],""))</f>
        <v/>
      </c>
      <c r="O18" s="207" t="str">
        <f>IF(Table_PrescriptLights_Input5[[#This Row],[Unit capacity (tons)]]="","",Table_PrescriptLights_Input5[[#This Row],[Unit capacity (tons)]]*Table_PrescriptLights_Input5[[#This Row],[Number of units]]*Table_PrescriptLights_Input5[[#This Row],[Part load (IPLV) kW/ton]]*VLOOKUP($E$4,References!$N$103:$Q$115,2,FALSE)*0.05)</f>
        <v/>
      </c>
      <c r="P18" s="208" t="str">
        <f>IF(Table_PrescriptLights_Input5[[#This Row],[Unit capacity (tons)]]="","",Table_PrescriptLights_Input5[[#This Row],[Unit capacity (tons)]]*Table_PrescriptLights_Input5[[#This Row],[Number of units]]*Table_PrescriptLights_Input5[[#This Row],[Full load kW/ton]]*VLOOKUP($E$4,References!$N$103:$Q$115,4,FALSE)*0.05)</f>
        <v/>
      </c>
      <c r="Q18" s="206" t="str">
        <f>IFERROR(Table_PrescriptLights_Input5[[#This Row],[Energy savings (kWh)]]*Input_AvgkWhRate, "")</f>
        <v/>
      </c>
      <c r="R18" s="206" t="str">
        <f>IF(Table_PrescriptLights_Input5[[#This Row],[Unit capacity (tons)]]="", "",#REF!+Table_PrescriptLights_Input5[[#This Row],[Total equipment + labor cost]])</f>
        <v/>
      </c>
      <c r="S18" s="206" t="str">
        <f>IFERROR(Table_PrescriptLights_Input5[[#This Row],[Gross measure cost]]-Table_PrescriptLights_Input5[[#This Row],[Estimated incentive]], "")</f>
        <v/>
      </c>
      <c r="T18" s="207" t="str">
        <f t="shared" si="0"/>
        <v/>
      </c>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row>
    <row r="19" spans="1:48" ht="15" x14ac:dyDescent="0.2">
      <c r="A19" s="170"/>
      <c r="B19" s="171">
        <v>14</v>
      </c>
      <c r="C19" s="172" t="str">
        <f>IFERROR(INDEX(Table_Prescript_Meas[Measure Number], MATCH(E19, Table_Prescript_Meas[Measure Description], 0)), "")</f>
        <v/>
      </c>
      <c r="D19" s="200"/>
      <c r="E19" s="201"/>
      <c r="F19" s="211" t="str">
        <f>IFERROR(INDEX(Table_Prescript_Meas[Units], MATCH(Table_PrescriptLights_Input5[[#This Row],[Measure number]], Table_Prescript_Meas[Measure Number], 0)), "")</f>
        <v/>
      </c>
      <c r="G19" s="203"/>
      <c r="H19" s="204"/>
      <c r="I19" s="212"/>
      <c r="J19" s="213"/>
      <c r="K19" s="213"/>
      <c r="L19" s="205"/>
      <c r="M19"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19" s="206" t="str">
        <f>IF(Table_PrescriptLights_Input5[[#This Row],[Unit capacity (tons)]]="","",IFERROR(Table_PrescriptLights_Input5[[#This Row],[Per-unit incentive]]*Table_PrescriptLights_Input5[[#This Row],[Unit capacity (tons)]]*Table_PrescriptLights_Input5[[#This Row],[Number of units]],""))</f>
        <v/>
      </c>
      <c r="O19" s="207" t="str">
        <f>IF(Table_PrescriptLights_Input5[[#This Row],[Unit capacity (tons)]]="","",Table_PrescriptLights_Input5[[#This Row],[Unit capacity (tons)]]*Table_PrescriptLights_Input5[[#This Row],[Number of units]]*Table_PrescriptLights_Input5[[#This Row],[Part load (IPLV) kW/ton]]*VLOOKUP($E$4,References!$N$103:$Q$115,2,FALSE)*0.05)</f>
        <v/>
      </c>
      <c r="P19" s="208" t="str">
        <f>IF(Table_PrescriptLights_Input5[[#This Row],[Unit capacity (tons)]]="","",Table_PrescriptLights_Input5[[#This Row],[Unit capacity (tons)]]*Table_PrescriptLights_Input5[[#This Row],[Number of units]]*Table_PrescriptLights_Input5[[#This Row],[Full load kW/ton]]*VLOOKUP($E$4,References!$N$103:$Q$115,4,FALSE)*0.05)</f>
        <v/>
      </c>
      <c r="Q19" s="206" t="str">
        <f>IFERROR(Table_PrescriptLights_Input5[[#This Row],[Energy savings (kWh)]]*Input_AvgkWhRate, "")</f>
        <v/>
      </c>
      <c r="R19" s="206" t="str">
        <f>IF(Table_PrescriptLights_Input5[[#This Row],[Unit capacity (tons)]]="", "",#REF!+Table_PrescriptLights_Input5[[#This Row],[Total equipment + labor cost]])</f>
        <v/>
      </c>
      <c r="S19" s="206" t="str">
        <f>IFERROR(Table_PrescriptLights_Input5[[#This Row],[Gross measure cost]]-Table_PrescriptLights_Input5[[#This Row],[Estimated incentive]], "")</f>
        <v/>
      </c>
      <c r="T19" s="207" t="str">
        <f t="shared" si="0"/>
        <v/>
      </c>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row>
    <row r="20" spans="1:48" ht="15" x14ac:dyDescent="0.2">
      <c r="A20" s="170"/>
      <c r="B20" s="171">
        <v>15</v>
      </c>
      <c r="C20" s="172" t="str">
        <f>IFERROR(INDEX(Table_Prescript_Meas[Measure Number], MATCH(E20, Table_Prescript_Meas[Measure Description], 0)), "")</f>
        <v/>
      </c>
      <c r="D20" s="200"/>
      <c r="E20" s="201"/>
      <c r="F20" s="211" t="str">
        <f>IFERROR(INDEX(Table_Prescript_Meas[Units], MATCH(Table_PrescriptLights_Input5[[#This Row],[Measure number]], Table_Prescript_Meas[Measure Number], 0)), "")</f>
        <v/>
      </c>
      <c r="G20" s="203"/>
      <c r="H20" s="204"/>
      <c r="I20" s="212"/>
      <c r="J20" s="213"/>
      <c r="K20" s="213"/>
      <c r="L20" s="205"/>
      <c r="M20"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0" s="206" t="str">
        <f>IF(Table_PrescriptLights_Input5[[#This Row],[Unit capacity (tons)]]="","",IFERROR(Table_PrescriptLights_Input5[[#This Row],[Per-unit incentive]]*Table_PrescriptLights_Input5[[#This Row],[Unit capacity (tons)]]*Table_PrescriptLights_Input5[[#This Row],[Number of units]],""))</f>
        <v/>
      </c>
      <c r="O20" s="207" t="str">
        <f>IF(Table_PrescriptLights_Input5[[#This Row],[Unit capacity (tons)]]="","",Table_PrescriptLights_Input5[[#This Row],[Unit capacity (tons)]]*Table_PrescriptLights_Input5[[#This Row],[Number of units]]*Table_PrescriptLights_Input5[[#This Row],[Part load (IPLV) kW/ton]]*VLOOKUP($E$4,References!$N$103:$Q$115,2,FALSE)*0.05)</f>
        <v/>
      </c>
      <c r="P20" s="208" t="str">
        <f>IF(Table_PrescriptLights_Input5[[#This Row],[Unit capacity (tons)]]="","",Table_PrescriptLights_Input5[[#This Row],[Unit capacity (tons)]]*Table_PrescriptLights_Input5[[#This Row],[Number of units]]*Table_PrescriptLights_Input5[[#This Row],[Full load kW/ton]]*VLOOKUP($E$4,References!$N$103:$Q$115,4,FALSE)*0.05)</f>
        <v/>
      </c>
      <c r="Q20" s="206" t="str">
        <f>IFERROR(Table_PrescriptLights_Input5[[#This Row],[Energy savings (kWh)]]*Input_AvgkWhRate, "")</f>
        <v/>
      </c>
      <c r="R20" s="206" t="str">
        <f>IF(Table_PrescriptLights_Input5[[#This Row],[Unit capacity (tons)]]="", "",#REF!+Table_PrescriptLights_Input5[[#This Row],[Total equipment + labor cost]])</f>
        <v/>
      </c>
      <c r="S20" s="206" t="str">
        <f>IFERROR(Table_PrescriptLights_Input5[[#This Row],[Gross measure cost]]-Table_PrescriptLights_Input5[[#This Row],[Estimated incentive]], "")</f>
        <v/>
      </c>
      <c r="T20" s="207" t="str">
        <f t="shared" si="0"/>
        <v/>
      </c>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row>
    <row r="21" spans="1:48" ht="15" x14ac:dyDescent="0.2">
      <c r="A21" s="170"/>
      <c r="B21" s="171">
        <v>16</v>
      </c>
      <c r="C21" s="172" t="str">
        <f>IFERROR(INDEX(Table_Prescript_Meas[Measure Number], MATCH(E21, Table_Prescript_Meas[Measure Description], 0)), "")</f>
        <v/>
      </c>
      <c r="D21" s="200"/>
      <c r="E21" s="201"/>
      <c r="F21" s="211" t="str">
        <f>IFERROR(INDEX(Table_Prescript_Meas[Units], MATCH(Table_PrescriptLights_Input5[[#This Row],[Measure number]], Table_Prescript_Meas[Measure Number], 0)), "")</f>
        <v/>
      </c>
      <c r="G21" s="203"/>
      <c r="H21" s="204"/>
      <c r="I21" s="212"/>
      <c r="J21" s="213"/>
      <c r="K21" s="213"/>
      <c r="L21" s="205"/>
      <c r="M21"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1" s="206" t="str">
        <f>IF(Table_PrescriptLights_Input5[[#This Row],[Unit capacity (tons)]]="","",IFERROR(Table_PrescriptLights_Input5[[#This Row],[Per-unit incentive]]*Table_PrescriptLights_Input5[[#This Row],[Unit capacity (tons)]]*Table_PrescriptLights_Input5[[#This Row],[Number of units]],""))</f>
        <v/>
      </c>
      <c r="O21" s="207" t="str">
        <f>IF(Table_PrescriptLights_Input5[[#This Row],[Unit capacity (tons)]]="","",Table_PrescriptLights_Input5[[#This Row],[Unit capacity (tons)]]*Table_PrescriptLights_Input5[[#This Row],[Number of units]]*Table_PrescriptLights_Input5[[#This Row],[Part load (IPLV) kW/ton]]*VLOOKUP($E$4,References!$N$103:$Q$115,2,FALSE)*0.05)</f>
        <v/>
      </c>
      <c r="P21" s="208" t="str">
        <f>IF(Table_PrescriptLights_Input5[[#This Row],[Unit capacity (tons)]]="","",Table_PrescriptLights_Input5[[#This Row],[Unit capacity (tons)]]*Table_PrescriptLights_Input5[[#This Row],[Number of units]]*Table_PrescriptLights_Input5[[#This Row],[Full load kW/ton]]*VLOOKUP($E$4,References!$N$103:$Q$115,4,FALSE)*0.05)</f>
        <v/>
      </c>
      <c r="Q21" s="206" t="str">
        <f>IFERROR(Table_PrescriptLights_Input5[[#This Row],[Energy savings (kWh)]]*Input_AvgkWhRate, "")</f>
        <v/>
      </c>
      <c r="R21" s="206" t="str">
        <f>IF(Table_PrescriptLights_Input5[[#This Row],[Unit capacity (tons)]]="", "",#REF!+Table_PrescriptLights_Input5[[#This Row],[Total equipment + labor cost]])</f>
        <v/>
      </c>
      <c r="S21" s="206" t="str">
        <f>IFERROR(Table_PrescriptLights_Input5[[#This Row],[Gross measure cost]]-Table_PrescriptLights_Input5[[#This Row],[Estimated incentive]], "")</f>
        <v/>
      </c>
      <c r="T21" s="207" t="str">
        <f t="shared" si="0"/>
        <v/>
      </c>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row>
    <row r="22" spans="1:48" ht="15" x14ac:dyDescent="0.2">
      <c r="A22" s="170"/>
      <c r="B22" s="171">
        <v>17</v>
      </c>
      <c r="C22" s="172" t="str">
        <f>IFERROR(INDEX(Table_Prescript_Meas[Measure Number], MATCH(E22, Table_Prescript_Meas[Measure Description], 0)), "")</f>
        <v/>
      </c>
      <c r="D22" s="200"/>
      <c r="E22" s="201"/>
      <c r="F22" s="211" t="str">
        <f>IFERROR(INDEX(Table_Prescript_Meas[Units], MATCH(Table_PrescriptLights_Input5[[#This Row],[Measure number]], Table_Prescript_Meas[Measure Number], 0)), "")</f>
        <v/>
      </c>
      <c r="G22" s="203"/>
      <c r="H22" s="204"/>
      <c r="I22" s="212"/>
      <c r="J22" s="213"/>
      <c r="K22" s="213"/>
      <c r="L22" s="205"/>
      <c r="M22"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2" s="206" t="str">
        <f>IF(Table_PrescriptLights_Input5[[#This Row],[Unit capacity (tons)]]="","",IFERROR(Table_PrescriptLights_Input5[[#This Row],[Per-unit incentive]]*Table_PrescriptLights_Input5[[#This Row],[Unit capacity (tons)]]*Table_PrescriptLights_Input5[[#This Row],[Number of units]],""))</f>
        <v/>
      </c>
      <c r="O22" s="207" t="str">
        <f>IF(Table_PrescriptLights_Input5[[#This Row],[Unit capacity (tons)]]="","",Table_PrescriptLights_Input5[[#This Row],[Unit capacity (tons)]]*Table_PrescriptLights_Input5[[#This Row],[Number of units]]*Table_PrescriptLights_Input5[[#This Row],[Part load (IPLV) kW/ton]]*VLOOKUP($E$4,References!$N$103:$Q$115,2,FALSE)*0.05)</f>
        <v/>
      </c>
      <c r="P22" s="208" t="str">
        <f>IF(Table_PrescriptLights_Input5[[#This Row],[Unit capacity (tons)]]="","",Table_PrescriptLights_Input5[[#This Row],[Unit capacity (tons)]]*Table_PrescriptLights_Input5[[#This Row],[Number of units]]*Table_PrescriptLights_Input5[[#This Row],[Full load kW/ton]]*VLOOKUP($E$4,References!$N$103:$Q$115,4,FALSE)*0.05)</f>
        <v/>
      </c>
      <c r="Q22" s="206" t="str">
        <f>IFERROR(Table_PrescriptLights_Input5[[#This Row],[Energy savings (kWh)]]*Input_AvgkWhRate, "")</f>
        <v/>
      </c>
      <c r="R22" s="206" t="str">
        <f>IF(Table_PrescriptLights_Input5[[#This Row],[Unit capacity (tons)]]="", "",#REF!+Table_PrescriptLights_Input5[[#This Row],[Total equipment + labor cost]])</f>
        <v/>
      </c>
      <c r="S22" s="206" t="str">
        <f>IFERROR(Table_PrescriptLights_Input5[[#This Row],[Gross measure cost]]-Table_PrescriptLights_Input5[[#This Row],[Estimated incentive]], "")</f>
        <v/>
      </c>
      <c r="T22" s="207" t="str">
        <f t="shared" si="0"/>
        <v/>
      </c>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row>
    <row r="23" spans="1:48" ht="15" x14ac:dyDescent="0.2">
      <c r="A23" s="170"/>
      <c r="B23" s="171">
        <v>18</v>
      </c>
      <c r="C23" s="172" t="str">
        <f>IFERROR(INDEX(Table_Prescript_Meas[Measure Number], MATCH(E23, Table_Prescript_Meas[Measure Description], 0)), "")</f>
        <v/>
      </c>
      <c r="D23" s="200"/>
      <c r="E23" s="201"/>
      <c r="F23" s="211" t="str">
        <f>IFERROR(INDEX(Table_Prescript_Meas[Units], MATCH(Table_PrescriptLights_Input5[[#This Row],[Measure number]], Table_Prescript_Meas[Measure Number], 0)), "")</f>
        <v/>
      </c>
      <c r="G23" s="203"/>
      <c r="H23" s="204"/>
      <c r="I23" s="212"/>
      <c r="J23" s="213"/>
      <c r="K23" s="213"/>
      <c r="L23" s="205"/>
      <c r="M23"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3" s="206" t="str">
        <f>IF(Table_PrescriptLights_Input5[[#This Row],[Unit capacity (tons)]]="","",IFERROR(Table_PrescriptLights_Input5[[#This Row],[Per-unit incentive]]*Table_PrescriptLights_Input5[[#This Row],[Unit capacity (tons)]]*Table_PrescriptLights_Input5[[#This Row],[Number of units]],""))</f>
        <v/>
      </c>
      <c r="O23" s="207" t="str">
        <f>IF(Table_PrescriptLights_Input5[[#This Row],[Unit capacity (tons)]]="","",Table_PrescriptLights_Input5[[#This Row],[Unit capacity (tons)]]*Table_PrescriptLights_Input5[[#This Row],[Number of units]]*Table_PrescriptLights_Input5[[#This Row],[Part load (IPLV) kW/ton]]*VLOOKUP($E$4,References!$N$103:$Q$115,2,FALSE)*0.05)</f>
        <v/>
      </c>
      <c r="P23" s="208" t="str">
        <f>IF(Table_PrescriptLights_Input5[[#This Row],[Unit capacity (tons)]]="","",Table_PrescriptLights_Input5[[#This Row],[Unit capacity (tons)]]*Table_PrescriptLights_Input5[[#This Row],[Number of units]]*Table_PrescriptLights_Input5[[#This Row],[Full load kW/ton]]*VLOOKUP($E$4,References!$N$103:$Q$115,4,FALSE)*0.05)</f>
        <v/>
      </c>
      <c r="Q23" s="206" t="str">
        <f>IFERROR(Table_PrescriptLights_Input5[[#This Row],[Energy savings (kWh)]]*Input_AvgkWhRate, "")</f>
        <v/>
      </c>
      <c r="R23" s="206" t="str">
        <f>IF(Table_PrescriptLights_Input5[[#This Row],[Unit capacity (tons)]]="", "",#REF!+Table_PrescriptLights_Input5[[#This Row],[Total equipment + labor cost]])</f>
        <v/>
      </c>
      <c r="S23" s="206" t="str">
        <f>IFERROR(Table_PrescriptLights_Input5[[#This Row],[Gross measure cost]]-Table_PrescriptLights_Input5[[#This Row],[Estimated incentive]], "")</f>
        <v/>
      </c>
      <c r="T23" s="207" t="str">
        <f t="shared" si="0"/>
        <v/>
      </c>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row>
    <row r="24" spans="1:48" ht="15" x14ac:dyDescent="0.2">
      <c r="A24" s="170"/>
      <c r="B24" s="171">
        <v>19</v>
      </c>
      <c r="C24" s="172" t="str">
        <f>IFERROR(INDEX(Table_Prescript_Meas[Measure Number], MATCH(E24, Table_Prescript_Meas[Measure Description], 0)), "")</f>
        <v/>
      </c>
      <c r="D24" s="200"/>
      <c r="E24" s="201"/>
      <c r="F24" s="211" t="str">
        <f>IFERROR(INDEX(Table_Prescript_Meas[Units], MATCH(Table_PrescriptLights_Input5[[#This Row],[Measure number]], Table_Prescript_Meas[Measure Number], 0)), "")</f>
        <v/>
      </c>
      <c r="G24" s="203"/>
      <c r="H24" s="204"/>
      <c r="I24" s="212"/>
      <c r="J24" s="213"/>
      <c r="K24" s="213"/>
      <c r="L24" s="205"/>
      <c r="M24"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4" s="206" t="str">
        <f>IF(Table_PrescriptLights_Input5[[#This Row],[Unit capacity (tons)]]="","",IFERROR(Table_PrescriptLights_Input5[[#This Row],[Per-unit incentive]]*Table_PrescriptLights_Input5[[#This Row],[Unit capacity (tons)]]*Table_PrescriptLights_Input5[[#This Row],[Number of units]],""))</f>
        <v/>
      </c>
      <c r="O24" s="207" t="str">
        <f>IF(Table_PrescriptLights_Input5[[#This Row],[Unit capacity (tons)]]="","",Table_PrescriptLights_Input5[[#This Row],[Unit capacity (tons)]]*Table_PrescriptLights_Input5[[#This Row],[Number of units]]*Table_PrescriptLights_Input5[[#This Row],[Part load (IPLV) kW/ton]]*VLOOKUP($E$4,References!$N$103:$Q$115,2,FALSE)*0.05)</f>
        <v/>
      </c>
      <c r="P24" s="208" t="str">
        <f>IF(Table_PrescriptLights_Input5[[#This Row],[Unit capacity (tons)]]="","",Table_PrescriptLights_Input5[[#This Row],[Unit capacity (tons)]]*Table_PrescriptLights_Input5[[#This Row],[Number of units]]*Table_PrescriptLights_Input5[[#This Row],[Full load kW/ton]]*VLOOKUP($E$4,References!$N$103:$Q$115,4,FALSE)*0.05)</f>
        <v/>
      </c>
      <c r="Q24" s="206" t="str">
        <f>IFERROR(Table_PrescriptLights_Input5[[#This Row],[Energy savings (kWh)]]*Input_AvgkWhRate, "")</f>
        <v/>
      </c>
      <c r="R24" s="206" t="str">
        <f>IF(Table_PrescriptLights_Input5[[#This Row],[Unit capacity (tons)]]="", "",#REF!+Table_PrescriptLights_Input5[[#This Row],[Total equipment + labor cost]])</f>
        <v/>
      </c>
      <c r="S24" s="206" t="str">
        <f>IFERROR(Table_PrescriptLights_Input5[[#This Row],[Gross measure cost]]-Table_PrescriptLights_Input5[[#This Row],[Estimated incentive]], "")</f>
        <v/>
      </c>
      <c r="T24" s="207" t="str">
        <f t="shared" si="0"/>
        <v/>
      </c>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row>
    <row r="25" spans="1:48" ht="15" x14ac:dyDescent="0.2">
      <c r="A25" s="170"/>
      <c r="B25" s="171">
        <v>20</v>
      </c>
      <c r="C25" s="172" t="str">
        <f>IFERROR(INDEX(Table_Prescript_Meas[Measure Number], MATCH(E25, Table_Prescript_Meas[Measure Description], 0)), "")</f>
        <v/>
      </c>
      <c r="D25" s="200"/>
      <c r="E25" s="201"/>
      <c r="F25" s="211" t="str">
        <f>IFERROR(INDEX(Table_Prescript_Meas[Units], MATCH(Table_PrescriptLights_Input5[[#This Row],[Measure number]], Table_Prescript_Meas[Measure Number], 0)), "")</f>
        <v/>
      </c>
      <c r="G25" s="203"/>
      <c r="H25" s="204"/>
      <c r="I25" s="212"/>
      <c r="J25" s="213"/>
      <c r="K25" s="213"/>
      <c r="L25" s="205"/>
      <c r="M25"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5" s="206" t="str">
        <f>IF(Table_PrescriptLights_Input5[[#This Row],[Unit capacity (tons)]]="","",IFERROR(Table_PrescriptLights_Input5[[#This Row],[Per-unit incentive]]*Table_PrescriptLights_Input5[[#This Row],[Unit capacity (tons)]]*Table_PrescriptLights_Input5[[#This Row],[Number of units]],""))</f>
        <v/>
      </c>
      <c r="O25" s="207" t="str">
        <f>IF(Table_PrescriptLights_Input5[[#This Row],[Unit capacity (tons)]]="","",Table_PrescriptLights_Input5[[#This Row],[Unit capacity (tons)]]*Table_PrescriptLights_Input5[[#This Row],[Number of units]]*Table_PrescriptLights_Input5[[#This Row],[Part load (IPLV) kW/ton]]*VLOOKUP($E$4,References!$N$103:$Q$115,2,FALSE)*0.05)</f>
        <v/>
      </c>
      <c r="P25" s="208" t="str">
        <f>IF(Table_PrescriptLights_Input5[[#This Row],[Unit capacity (tons)]]="","",Table_PrescriptLights_Input5[[#This Row],[Unit capacity (tons)]]*Table_PrescriptLights_Input5[[#This Row],[Number of units]]*Table_PrescriptLights_Input5[[#This Row],[Full load kW/ton]]*VLOOKUP($E$4,References!$N$103:$Q$115,4,FALSE)*0.05)</f>
        <v/>
      </c>
      <c r="Q25" s="206" t="str">
        <f>IFERROR(Table_PrescriptLights_Input5[[#This Row],[Energy savings (kWh)]]*Input_AvgkWhRate, "")</f>
        <v/>
      </c>
      <c r="R25" s="206" t="str">
        <f>IF(Table_PrescriptLights_Input5[[#This Row],[Unit capacity (tons)]]="", "",#REF!+Table_PrescriptLights_Input5[[#This Row],[Total equipment + labor cost]])</f>
        <v/>
      </c>
      <c r="S25" s="206" t="str">
        <f>IFERROR(Table_PrescriptLights_Input5[[#This Row],[Gross measure cost]]-Table_PrescriptLights_Input5[[#This Row],[Estimated incentive]], "")</f>
        <v/>
      </c>
      <c r="T25" s="207" t="str">
        <f t="shared" si="0"/>
        <v/>
      </c>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row>
    <row r="26" spans="1:48" ht="15" x14ac:dyDescent="0.2">
      <c r="A26" s="170"/>
      <c r="B26" s="171">
        <v>21</v>
      </c>
      <c r="C26" s="172" t="str">
        <f>IFERROR(INDEX(Table_Prescript_Meas[Measure Number], MATCH(E26, Table_Prescript_Meas[Measure Description], 0)), "")</f>
        <v/>
      </c>
      <c r="D26" s="200"/>
      <c r="E26" s="201"/>
      <c r="F26" s="211" t="str">
        <f>IFERROR(INDEX(Table_Prescript_Meas[Units], MATCH(Table_PrescriptLights_Input5[[#This Row],[Measure number]], Table_Prescript_Meas[Measure Number], 0)), "")</f>
        <v/>
      </c>
      <c r="G26" s="203"/>
      <c r="H26" s="204"/>
      <c r="I26" s="212"/>
      <c r="J26" s="213"/>
      <c r="K26" s="213"/>
      <c r="L26" s="205"/>
      <c r="M26"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6" s="206" t="str">
        <f>IF(Table_PrescriptLights_Input5[[#This Row],[Unit capacity (tons)]]="","",IFERROR(Table_PrescriptLights_Input5[[#This Row],[Per-unit incentive]]*Table_PrescriptLights_Input5[[#This Row],[Unit capacity (tons)]]*Table_PrescriptLights_Input5[[#This Row],[Number of units]],""))</f>
        <v/>
      </c>
      <c r="O26" s="207" t="str">
        <f>IF(Table_PrescriptLights_Input5[[#This Row],[Unit capacity (tons)]]="","",Table_PrescriptLights_Input5[[#This Row],[Unit capacity (tons)]]*Table_PrescriptLights_Input5[[#This Row],[Number of units]]*Table_PrescriptLights_Input5[[#This Row],[Part load (IPLV) kW/ton]]*VLOOKUP($E$4,References!$N$103:$Q$115,2,FALSE)*0.05)</f>
        <v/>
      </c>
      <c r="P26" s="208" t="str">
        <f>IF(Table_PrescriptLights_Input5[[#This Row],[Unit capacity (tons)]]="","",Table_PrescriptLights_Input5[[#This Row],[Unit capacity (tons)]]*Table_PrescriptLights_Input5[[#This Row],[Number of units]]*Table_PrescriptLights_Input5[[#This Row],[Full load kW/ton]]*VLOOKUP($E$4,References!$N$103:$Q$115,4,FALSE)*0.05)</f>
        <v/>
      </c>
      <c r="Q26" s="206" t="str">
        <f>IFERROR(Table_PrescriptLights_Input5[[#This Row],[Energy savings (kWh)]]*Input_AvgkWhRate, "")</f>
        <v/>
      </c>
      <c r="R26" s="206" t="str">
        <f>IF(Table_PrescriptLights_Input5[[#This Row],[Unit capacity (tons)]]="", "",#REF!+Table_PrescriptLights_Input5[[#This Row],[Total equipment + labor cost]])</f>
        <v/>
      </c>
      <c r="S26" s="206" t="str">
        <f>IFERROR(Table_PrescriptLights_Input5[[#This Row],[Gross measure cost]]-Table_PrescriptLights_Input5[[#This Row],[Estimated incentive]], "")</f>
        <v/>
      </c>
      <c r="T26" s="207" t="str">
        <f t="shared" si="0"/>
        <v/>
      </c>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row>
    <row r="27" spans="1:48" ht="15" x14ac:dyDescent="0.2">
      <c r="A27" s="170"/>
      <c r="B27" s="171">
        <v>22</v>
      </c>
      <c r="C27" s="172" t="str">
        <f>IFERROR(INDEX(Table_Prescript_Meas[Measure Number], MATCH(E27, Table_Prescript_Meas[Measure Description], 0)), "")</f>
        <v/>
      </c>
      <c r="D27" s="200"/>
      <c r="E27" s="201"/>
      <c r="F27" s="211" t="str">
        <f>IFERROR(INDEX(Table_Prescript_Meas[Units], MATCH(Table_PrescriptLights_Input5[[#This Row],[Measure number]], Table_Prescript_Meas[Measure Number], 0)), "")</f>
        <v/>
      </c>
      <c r="G27" s="203"/>
      <c r="H27" s="204"/>
      <c r="I27" s="212"/>
      <c r="J27" s="213"/>
      <c r="K27" s="213"/>
      <c r="L27" s="205"/>
      <c r="M27"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7" s="206" t="str">
        <f>IF(Table_PrescriptLights_Input5[[#This Row],[Unit capacity (tons)]]="","",IFERROR(Table_PrescriptLights_Input5[[#This Row],[Per-unit incentive]]*Table_PrescriptLights_Input5[[#This Row],[Unit capacity (tons)]]*Table_PrescriptLights_Input5[[#This Row],[Number of units]],""))</f>
        <v/>
      </c>
      <c r="O27" s="207" t="str">
        <f>IF(Table_PrescriptLights_Input5[[#This Row],[Unit capacity (tons)]]="","",Table_PrescriptLights_Input5[[#This Row],[Unit capacity (tons)]]*Table_PrescriptLights_Input5[[#This Row],[Number of units]]*Table_PrescriptLights_Input5[[#This Row],[Part load (IPLV) kW/ton]]*VLOOKUP($E$4,References!$N$103:$Q$115,2,FALSE)*0.05)</f>
        <v/>
      </c>
      <c r="P27" s="208" t="str">
        <f>IF(Table_PrescriptLights_Input5[[#This Row],[Unit capacity (tons)]]="","",Table_PrescriptLights_Input5[[#This Row],[Unit capacity (tons)]]*Table_PrescriptLights_Input5[[#This Row],[Number of units]]*Table_PrescriptLights_Input5[[#This Row],[Full load kW/ton]]*VLOOKUP($E$4,References!$N$103:$Q$115,4,FALSE)*0.05)</f>
        <v/>
      </c>
      <c r="Q27" s="206" t="str">
        <f>IFERROR(Table_PrescriptLights_Input5[[#This Row],[Energy savings (kWh)]]*Input_AvgkWhRate, "")</f>
        <v/>
      </c>
      <c r="R27" s="206" t="str">
        <f>IF(Table_PrescriptLights_Input5[[#This Row],[Unit capacity (tons)]]="", "",#REF!+Table_PrescriptLights_Input5[[#This Row],[Total equipment + labor cost]])</f>
        <v/>
      </c>
      <c r="S27" s="206" t="str">
        <f>IFERROR(Table_PrescriptLights_Input5[[#This Row],[Gross measure cost]]-Table_PrescriptLights_Input5[[#This Row],[Estimated incentive]], "")</f>
        <v/>
      </c>
      <c r="T27" s="207" t="str">
        <f t="shared" si="0"/>
        <v/>
      </c>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c r="AT27" s="170"/>
      <c r="AU27" s="170"/>
      <c r="AV27" s="170"/>
    </row>
    <row r="28" spans="1:48" ht="15" x14ac:dyDescent="0.2">
      <c r="A28" s="170"/>
      <c r="B28" s="171">
        <v>23</v>
      </c>
      <c r="C28" s="172" t="str">
        <f>IFERROR(INDEX(Table_Prescript_Meas[Measure Number], MATCH(E28, Table_Prescript_Meas[Measure Description], 0)), "")</f>
        <v/>
      </c>
      <c r="D28" s="200"/>
      <c r="E28" s="201"/>
      <c r="F28" s="211" t="str">
        <f>IFERROR(INDEX(Table_Prescript_Meas[Units], MATCH(Table_PrescriptLights_Input5[[#This Row],[Measure number]], Table_Prescript_Meas[Measure Number], 0)), "")</f>
        <v/>
      </c>
      <c r="G28" s="203"/>
      <c r="H28" s="204"/>
      <c r="I28" s="212"/>
      <c r="J28" s="213"/>
      <c r="K28" s="213"/>
      <c r="L28" s="205"/>
      <c r="M28"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8" s="206" t="str">
        <f>IF(Table_PrescriptLights_Input5[[#This Row],[Unit capacity (tons)]]="","",IFERROR(Table_PrescriptLights_Input5[[#This Row],[Per-unit incentive]]*Table_PrescriptLights_Input5[[#This Row],[Unit capacity (tons)]]*Table_PrescriptLights_Input5[[#This Row],[Number of units]],""))</f>
        <v/>
      </c>
      <c r="O28" s="207" t="str">
        <f>IF(Table_PrescriptLights_Input5[[#This Row],[Unit capacity (tons)]]="","",Table_PrescriptLights_Input5[[#This Row],[Unit capacity (tons)]]*Table_PrescriptLights_Input5[[#This Row],[Number of units]]*Table_PrescriptLights_Input5[[#This Row],[Part load (IPLV) kW/ton]]*VLOOKUP($E$4,References!$N$103:$Q$115,2,FALSE)*0.05)</f>
        <v/>
      </c>
      <c r="P28" s="208" t="str">
        <f>IF(Table_PrescriptLights_Input5[[#This Row],[Unit capacity (tons)]]="","",Table_PrescriptLights_Input5[[#This Row],[Unit capacity (tons)]]*Table_PrescriptLights_Input5[[#This Row],[Number of units]]*Table_PrescriptLights_Input5[[#This Row],[Full load kW/ton]]*VLOOKUP($E$4,References!$N$103:$Q$115,4,FALSE)*0.05)</f>
        <v/>
      </c>
      <c r="Q28" s="206" t="str">
        <f>IFERROR(Table_PrescriptLights_Input5[[#This Row],[Energy savings (kWh)]]*Input_AvgkWhRate, "")</f>
        <v/>
      </c>
      <c r="R28" s="206" t="str">
        <f>IF(Table_PrescriptLights_Input5[[#This Row],[Unit capacity (tons)]]="", "",#REF!+Table_PrescriptLights_Input5[[#This Row],[Total equipment + labor cost]])</f>
        <v/>
      </c>
      <c r="S28" s="206" t="str">
        <f>IFERROR(Table_PrescriptLights_Input5[[#This Row],[Gross measure cost]]-Table_PrescriptLights_Input5[[#This Row],[Estimated incentive]], "")</f>
        <v/>
      </c>
      <c r="T28" s="207" t="str">
        <f t="shared" si="0"/>
        <v/>
      </c>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row>
    <row r="29" spans="1:48" ht="15" x14ac:dyDescent="0.2">
      <c r="A29" s="170"/>
      <c r="B29" s="171">
        <v>24</v>
      </c>
      <c r="C29" s="172" t="str">
        <f>IFERROR(INDEX(Table_Prescript_Meas[Measure Number], MATCH(E29, Table_Prescript_Meas[Measure Description], 0)), "")</f>
        <v/>
      </c>
      <c r="D29" s="200"/>
      <c r="E29" s="201"/>
      <c r="F29" s="211" t="str">
        <f>IFERROR(INDEX(Table_Prescript_Meas[Units], MATCH(Table_PrescriptLights_Input5[[#This Row],[Measure number]], Table_Prescript_Meas[Measure Number], 0)), "")</f>
        <v/>
      </c>
      <c r="G29" s="203"/>
      <c r="H29" s="204"/>
      <c r="I29" s="212"/>
      <c r="J29" s="213"/>
      <c r="K29" s="213"/>
      <c r="L29" s="205"/>
      <c r="M29"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29" s="206" t="str">
        <f>IF(Table_PrescriptLights_Input5[[#This Row],[Unit capacity (tons)]]="","",IFERROR(Table_PrescriptLights_Input5[[#This Row],[Per-unit incentive]]*Table_PrescriptLights_Input5[[#This Row],[Unit capacity (tons)]]*Table_PrescriptLights_Input5[[#This Row],[Number of units]],""))</f>
        <v/>
      </c>
      <c r="O29" s="207" t="str">
        <f>IF(Table_PrescriptLights_Input5[[#This Row],[Unit capacity (tons)]]="","",Table_PrescriptLights_Input5[[#This Row],[Unit capacity (tons)]]*Table_PrescriptLights_Input5[[#This Row],[Number of units]]*Table_PrescriptLights_Input5[[#This Row],[Part load (IPLV) kW/ton]]*VLOOKUP($E$4,References!$N$103:$Q$115,2,FALSE)*0.05)</f>
        <v/>
      </c>
      <c r="P29" s="208" t="str">
        <f>IF(Table_PrescriptLights_Input5[[#This Row],[Unit capacity (tons)]]="","",Table_PrescriptLights_Input5[[#This Row],[Unit capacity (tons)]]*Table_PrescriptLights_Input5[[#This Row],[Number of units]]*Table_PrescriptLights_Input5[[#This Row],[Full load kW/ton]]*VLOOKUP($E$4,References!$N$103:$Q$115,4,FALSE)*0.05)</f>
        <v/>
      </c>
      <c r="Q29" s="206" t="str">
        <f>IFERROR(Table_PrescriptLights_Input5[[#This Row],[Energy savings (kWh)]]*Input_AvgkWhRate, "")</f>
        <v/>
      </c>
      <c r="R29" s="206" t="str">
        <f>IF(Table_PrescriptLights_Input5[[#This Row],[Unit capacity (tons)]]="", "",#REF!+Table_PrescriptLights_Input5[[#This Row],[Total equipment + labor cost]])</f>
        <v/>
      </c>
      <c r="S29" s="206" t="str">
        <f>IFERROR(Table_PrescriptLights_Input5[[#This Row],[Gross measure cost]]-Table_PrescriptLights_Input5[[#This Row],[Estimated incentive]], "")</f>
        <v/>
      </c>
      <c r="T29" s="207" t="str">
        <f t="shared" si="0"/>
        <v/>
      </c>
      <c r="U29" s="170"/>
      <c r="V29" s="170"/>
      <c r="W29" s="170"/>
      <c r="X29" s="170"/>
      <c r="Y29" s="170"/>
      <c r="Z29" s="170"/>
      <c r="AA29" s="170"/>
      <c r="AB29" s="170"/>
      <c r="AC29" s="170"/>
      <c r="AD29" s="170"/>
      <c r="AE29" s="170"/>
      <c r="AF29" s="170"/>
      <c r="AG29" s="170"/>
      <c r="AH29" s="170"/>
      <c r="AI29" s="170"/>
      <c r="AJ29" s="170"/>
      <c r="AK29" s="170"/>
      <c r="AL29" s="170"/>
      <c r="AM29" s="170"/>
      <c r="AN29" s="170"/>
      <c r="AO29" s="170"/>
      <c r="AP29" s="170"/>
      <c r="AQ29" s="170"/>
      <c r="AR29" s="170"/>
      <c r="AS29" s="170"/>
      <c r="AT29" s="170"/>
      <c r="AU29" s="170"/>
      <c r="AV29" s="170"/>
    </row>
    <row r="30" spans="1:48" ht="15" x14ac:dyDescent="0.2">
      <c r="A30" s="170"/>
      <c r="B30" s="171">
        <v>25</v>
      </c>
      <c r="C30" s="172" t="str">
        <f>IFERROR(INDEX(Table_Prescript_Meas[Measure Number], MATCH(E30, Table_Prescript_Meas[Measure Description], 0)), "")</f>
        <v/>
      </c>
      <c r="D30" s="200"/>
      <c r="E30" s="201"/>
      <c r="F30" s="211" t="str">
        <f>IFERROR(INDEX(Table_Prescript_Meas[Units], MATCH(Table_PrescriptLights_Input5[[#This Row],[Measure number]], Table_Prescript_Meas[Measure Number], 0)), "")</f>
        <v/>
      </c>
      <c r="G30" s="203"/>
      <c r="H30" s="204"/>
      <c r="I30" s="212"/>
      <c r="J30" s="213"/>
      <c r="K30" s="213"/>
      <c r="L30" s="205"/>
      <c r="M30"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0" s="206" t="str">
        <f>IF(Table_PrescriptLights_Input5[[#This Row],[Unit capacity (tons)]]="","",IFERROR(Table_PrescriptLights_Input5[[#This Row],[Per-unit incentive]]*Table_PrescriptLights_Input5[[#This Row],[Unit capacity (tons)]]*Table_PrescriptLights_Input5[[#This Row],[Number of units]],""))</f>
        <v/>
      </c>
      <c r="O30" s="207" t="str">
        <f>IF(Table_PrescriptLights_Input5[[#This Row],[Unit capacity (tons)]]="","",Table_PrescriptLights_Input5[[#This Row],[Unit capacity (tons)]]*Table_PrescriptLights_Input5[[#This Row],[Number of units]]*Table_PrescriptLights_Input5[[#This Row],[Part load (IPLV) kW/ton]]*VLOOKUP($E$4,References!$N$103:$Q$115,2,FALSE)*0.05)</f>
        <v/>
      </c>
      <c r="P30" s="208" t="str">
        <f>IF(Table_PrescriptLights_Input5[[#This Row],[Unit capacity (tons)]]="","",Table_PrescriptLights_Input5[[#This Row],[Unit capacity (tons)]]*Table_PrescriptLights_Input5[[#This Row],[Number of units]]*Table_PrescriptLights_Input5[[#This Row],[Full load kW/ton]]*VLOOKUP($E$4,References!$N$103:$Q$115,4,FALSE)*0.05)</f>
        <v/>
      </c>
      <c r="Q30" s="206" t="str">
        <f>IFERROR(Table_PrescriptLights_Input5[[#This Row],[Energy savings (kWh)]]*Input_AvgkWhRate, "")</f>
        <v/>
      </c>
      <c r="R30" s="206" t="str">
        <f>IF(Table_PrescriptLights_Input5[[#This Row],[Unit capacity (tons)]]="", "",#REF!+Table_PrescriptLights_Input5[[#This Row],[Total equipment + labor cost]])</f>
        <v/>
      </c>
      <c r="S30" s="206" t="str">
        <f>IFERROR(Table_PrescriptLights_Input5[[#This Row],[Gross measure cost]]-Table_PrescriptLights_Input5[[#This Row],[Estimated incentive]], "")</f>
        <v/>
      </c>
      <c r="T30" s="207" t="str">
        <f t="shared" si="0"/>
        <v/>
      </c>
      <c r="U30" s="170"/>
      <c r="V30" s="170"/>
      <c r="W30" s="170"/>
      <c r="X30" s="170"/>
      <c r="Y30" s="170"/>
      <c r="Z30" s="170"/>
      <c r="AA30" s="170"/>
      <c r="AB30" s="170"/>
      <c r="AC30" s="170"/>
      <c r="AD30" s="170"/>
      <c r="AE30" s="170"/>
      <c r="AF30" s="170"/>
      <c r="AG30" s="170"/>
      <c r="AH30" s="170"/>
      <c r="AI30" s="170"/>
      <c r="AJ30" s="170"/>
      <c r="AK30" s="170"/>
      <c r="AL30" s="170"/>
      <c r="AM30" s="170"/>
      <c r="AN30" s="170"/>
      <c r="AO30" s="170"/>
      <c r="AP30" s="170"/>
      <c r="AQ30" s="170"/>
      <c r="AR30" s="170"/>
      <c r="AS30" s="170"/>
      <c r="AT30" s="170"/>
      <c r="AU30" s="170"/>
      <c r="AV30" s="170"/>
    </row>
    <row r="31" spans="1:48" ht="15" x14ac:dyDescent="0.2">
      <c r="A31" s="170"/>
      <c r="B31" s="171">
        <v>26</v>
      </c>
      <c r="C31" s="172" t="str">
        <f>IFERROR(INDEX(Table_Prescript_Meas[Measure Number], MATCH(E31, Table_Prescript_Meas[Measure Description], 0)), "")</f>
        <v/>
      </c>
      <c r="D31" s="200"/>
      <c r="E31" s="201"/>
      <c r="F31" s="211" t="str">
        <f>IFERROR(INDEX(Table_Prescript_Meas[Units], MATCH(Table_PrescriptLights_Input5[[#This Row],[Measure number]], Table_Prescript_Meas[Measure Number], 0)), "")</f>
        <v/>
      </c>
      <c r="G31" s="203"/>
      <c r="H31" s="204"/>
      <c r="I31" s="212"/>
      <c r="J31" s="213"/>
      <c r="K31" s="213"/>
      <c r="L31" s="205"/>
      <c r="M31"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1" s="206" t="str">
        <f>IF(Table_PrescriptLights_Input5[[#This Row],[Unit capacity (tons)]]="","",IFERROR(Table_PrescriptLights_Input5[[#This Row],[Per-unit incentive]]*Table_PrescriptLights_Input5[[#This Row],[Unit capacity (tons)]]*Table_PrescriptLights_Input5[[#This Row],[Number of units]],""))</f>
        <v/>
      </c>
      <c r="O31" s="207" t="str">
        <f>IF(Table_PrescriptLights_Input5[[#This Row],[Unit capacity (tons)]]="","",Table_PrescriptLights_Input5[[#This Row],[Unit capacity (tons)]]*Table_PrescriptLights_Input5[[#This Row],[Number of units]]*Table_PrescriptLights_Input5[[#This Row],[Part load (IPLV) kW/ton]]*VLOOKUP($E$4,References!$N$103:$Q$115,2,FALSE)*0.05)</f>
        <v/>
      </c>
      <c r="P31" s="208" t="str">
        <f>IF(Table_PrescriptLights_Input5[[#This Row],[Unit capacity (tons)]]="","",Table_PrescriptLights_Input5[[#This Row],[Unit capacity (tons)]]*Table_PrescriptLights_Input5[[#This Row],[Number of units]]*Table_PrescriptLights_Input5[[#This Row],[Full load kW/ton]]*VLOOKUP($E$4,References!$N$103:$Q$115,4,FALSE)*0.05)</f>
        <v/>
      </c>
      <c r="Q31" s="206" t="str">
        <f>IFERROR(Table_PrescriptLights_Input5[[#This Row],[Energy savings (kWh)]]*Input_AvgkWhRate, "")</f>
        <v/>
      </c>
      <c r="R31" s="206" t="str">
        <f>IF(Table_PrescriptLights_Input5[[#This Row],[Unit capacity (tons)]]="", "",#REF!+Table_PrescriptLights_Input5[[#This Row],[Total equipment + labor cost]])</f>
        <v/>
      </c>
      <c r="S31" s="206" t="str">
        <f>IFERROR(Table_PrescriptLights_Input5[[#This Row],[Gross measure cost]]-Table_PrescriptLights_Input5[[#This Row],[Estimated incentive]], "")</f>
        <v/>
      </c>
      <c r="T31" s="207" t="str">
        <f t="shared" si="0"/>
        <v/>
      </c>
      <c r="U31" s="170"/>
      <c r="V31" s="170"/>
      <c r="W31" s="170"/>
      <c r="X31" s="170"/>
      <c r="Y31" s="170"/>
      <c r="Z31" s="170"/>
      <c r="AA31" s="170"/>
      <c r="AB31" s="170"/>
      <c r="AC31" s="170"/>
      <c r="AD31" s="170"/>
      <c r="AE31" s="170"/>
      <c r="AF31" s="170"/>
      <c r="AG31" s="170"/>
      <c r="AH31" s="170"/>
      <c r="AI31" s="170"/>
      <c r="AJ31" s="170"/>
      <c r="AK31" s="170"/>
      <c r="AL31" s="170"/>
      <c r="AM31" s="170"/>
      <c r="AN31" s="170"/>
      <c r="AO31" s="170"/>
      <c r="AP31" s="170"/>
      <c r="AQ31" s="170"/>
      <c r="AR31" s="170"/>
      <c r="AS31" s="170"/>
      <c r="AT31" s="170"/>
      <c r="AU31" s="170"/>
      <c r="AV31" s="170"/>
    </row>
    <row r="32" spans="1:48" ht="15" x14ac:dyDescent="0.2">
      <c r="A32" s="163"/>
      <c r="B32" s="171">
        <v>27</v>
      </c>
      <c r="C32" s="172" t="str">
        <f>IFERROR(INDEX(Table_Prescript_Meas[Measure Number], MATCH(E32, Table_Prescript_Meas[Measure Description], 0)), "")</f>
        <v/>
      </c>
      <c r="D32" s="200"/>
      <c r="E32" s="201"/>
      <c r="F32" s="211" t="str">
        <f>IFERROR(INDEX(Table_Prescript_Meas[Units], MATCH(Table_PrescriptLights_Input5[[#This Row],[Measure number]], Table_Prescript_Meas[Measure Number], 0)), "")</f>
        <v/>
      </c>
      <c r="G32" s="203"/>
      <c r="H32" s="204"/>
      <c r="I32" s="212"/>
      <c r="J32" s="213"/>
      <c r="K32" s="213"/>
      <c r="L32" s="205"/>
      <c r="M32"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2" s="206" t="str">
        <f>IF(Table_PrescriptLights_Input5[[#This Row],[Unit capacity (tons)]]="","",IFERROR(Table_PrescriptLights_Input5[[#This Row],[Per-unit incentive]]*Table_PrescriptLights_Input5[[#This Row],[Unit capacity (tons)]]*Table_PrescriptLights_Input5[[#This Row],[Number of units]],""))</f>
        <v/>
      </c>
      <c r="O32" s="207" t="str">
        <f>IF(Table_PrescriptLights_Input5[[#This Row],[Unit capacity (tons)]]="","",Table_PrescriptLights_Input5[[#This Row],[Unit capacity (tons)]]*Table_PrescriptLights_Input5[[#This Row],[Number of units]]*Table_PrescriptLights_Input5[[#This Row],[Part load (IPLV) kW/ton]]*VLOOKUP($E$4,References!$N$103:$Q$115,2,FALSE)*0.05)</f>
        <v/>
      </c>
      <c r="P32" s="208" t="str">
        <f>IF(Table_PrescriptLights_Input5[[#This Row],[Unit capacity (tons)]]="","",Table_PrescriptLights_Input5[[#This Row],[Unit capacity (tons)]]*Table_PrescriptLights_Input5[[#This Row],[Number of units]]*Table_PrescriptLights_Input5[[#This Row],[Full load kW/ton]]*VLOOKUP($E$4,References!$N$103:$Q$115,4,FALSE)*0.05)</f>
        <v/>
      </c>
      <c r="Q32" s="206" t="str">
        <f>IFERROR(Table_PrescriptLights_Input5[[#This Row],[Energy savings (kWh)]]*Input_AvgkWhRate, "")</f>
        <v/>
      </c>
      <c r="R32" s="206" t="str">
        <f>IF(Table_PrescriptLights_Input5[[#This Row],[Unit capacity (tons)]]="", "",#REF!+Table_PrescriptLights_Input5[[#This Row],[Total equipment + labor cost]])</f>
        <v/>
      </c>
      <c r="S32" s="206" t="str">
        <f>IFERROR(Table_PrescriptLights_Input5[[#This Row],[Gross measure cost]]-Table_PrescriptLights_Input5[[#This Row],[Estimated incentive]], "")</f>
        <v/>
      </c>
      <c r="T32" s="207" t="str">
        <f t="shared" si="0"/>
        <v/>
      </c>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row>
    <row r="33" spans="1:48" ht="15" x14ac:dyDescent="0.2">
      <c r="A33" s="163"/>
      <c r="B33" s="171">
        <v>28</v>
      </c>
      <c r="C33" s="172" t="str">
        <f>IFERROR(INDEX(Table_Prescript_Meas[Measure Number], MATCH(E33, Table_Prescript_Meas[Measure Description], 0)), "")</f>
        <v/>
      </c>
      <c r="D33" s="200"/>
      <c r="E33" s="201"/>
      <c r="F33" s="211" t="str">
        <f>IFERROR(INDEX(Table_Prescript_Meas[Units], MATCH(Table_PrescriptLights_Input5[[#This Row],[Measure number]], Table_Prescript_Meas[Measure Number], 0)), "")</f>
        <v/>
      </c>
      <c r="G33" s="203"/>
      <c r="H33" s="204"/>
      <c r="I33" s="212"/>
      <c r="J33" s="213"/>
      <c r="K33" s="213"/>
      <c r="L33" s="205"/>
      <c r="M33"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3" s="206" t="str">
        <f>IF(Table_PrescriptLights_Input5[[#This Row],[Unit capacity (tons)]]="","",IFERROR(Table_PrescriptLights_Input5[[#This Row],[Per-unit incentive]]*Table_PrescriptLights_Input5[[#This Row],[Unit capacity (tons)]]*Table_PrescriptLights_Input5[[#This Row],[Number of units]],""))</f>
        <v/>
      </c>
      <c r="O33" s="207" t="str">
        <f>IF(Table_PrescriptLights_Input5[[#This Row],[Unit capacity (tons)]]="","",Table_PrescriptLights_Input5[[#This Row],[Unit capacity (tons)]]*Table_PrescriptLights_Input5[[#This Row],[Number of units]]*Table_PrescriptLights_Input5[[#This Row],[Part load (IPLV) kW/ton]]*VLOOKUP($E$4,References!$N$103:$Q$115,2,FALSE)*0.05)</f>
        <v/>
      </c>
      <c r="P33" s="208" t="str">
        <f>IF(Table_PrescriptLights_Input5[[#This Row],[Unit capacity (tons)]]="","",Table_PrescriptLights_Input5[[#This Row],[Unit capacity (tons)]]*Table_PrescriptLights_Input5[[#This Row],[Number of units]]*Table_PrescriptLights_Input5[[#This Row],[Full load kW/ton]]*VLOOKUP($E$4,References!$N$103:$Q$115,4,FALSE)*0.05)</f>
        <v/>
      </c>
      <c r="Q33" s="206" t="str">
        <f>IFERROR(Table_PrescriptLights_Input5[[#This Row],[Energy savings (kWh)]]*Input_AvgkWhRate, "")</f>
        <v/>
      </c>
      <c r="R33" s="206" t="str">
        <f>IF(Table_PrescriptLights_Input5[[#This Row],[Unit capacity (tons)]]="", "",#REF!+Table_PrescriptLights_Input5[[#This Row],[Total equipment + labor cost]])</f>
        <v/>
      </c>
      <c r="S33" s="206" t="str">
        <f>IFERROR(Table_PrescriptLights_Input5[[#This Row],[Gross measure cost]]-Table_PrescriptLights_Input5[[#This Row],[Estimated incentive]], "")</f>
        <v/>
      </c>
      <c r="T33" s="207" t="str">
        <f t="shared" si="0"/>
        <v/>
      </c>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row>
    <row r="34" spans="1:48" ht="15" x14ac:dyDescent="0.2">
      <c r="A34" s="163"/>
      <c r="B34" s="171">
        <v>29</v>
      </c>
      <c r="C34" s="172" t="str">
        <f>IFERROR(INDEX(Table_Prescript_Meas[Measure Number], MATCH(E34, Table_Prescript_Meas[Measure Description], 0)), "")</f>
        <v/>
      </c>
      <c r="D34" s="200"/>
      <c r="E34" s="201"/>
      <c r="F34" s="211" t="str">
        <f>IFERROR(INDEX(Table_Prescript_Meas[Units], MATCH(Table_PrescriptLights_Input5[[#This Row],[Measure number]], Table_Prescript_Meas[Measure Number], 0)), "")</f>
        <v/>
      </c>
      <c r="G34" s="203"/>
      <c r="H34" s="204"/>
      <c r="I34" s="212"/>
      <c r="J34" s="213"/>
      <c r="K34" s="213"/>
      <c r="L34" s="205"/>
      <c r="M34"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4" s="206" t="str">
        <f>IF(Table_PrescriptLights_Input5[[#This Row],[Unit capacity (tons)]]="","",IFERROR(Table_PrescriptLights_Input5[[#This Row],[Per-unit incentive]]*Table_PrescriptLights_Input5[[#This Row],[Unit capacity (tons)]]*Table_PrescriptLights_Input5[[#This Row],[Number of units]],""))</f>
        <v/>
      </c>
      <c r="O34" s="207" t="str">
        <f>IF(Table_PrescriptLights_Input5[[#This Row],[Unit capacity (tons)]]="","",Table_PrescriptLights_Input5[[#This Row],[Unit capacity (tons)]]*Table_PrescriptLights_Input5[[#This Row],[Number of units]]*Table_PrescriptLights_Input5[[#This Row],[Part load (IPLV) kW/ton]]*VLOOKUP($E$4,References!$N$103:$Q$115,2,FALSE)*0.05)</f>
        <v/>
      </c>
      <c r="P34" s="208" t="str">
        <f>IF(Table_PrescriptLights_Input5[[#This Row],[Unit capacity (tons)]]="","",Table_PrescriptLights_Input5[[#This Row],[Unit capacity (tons)]]*Table_PrescriptLights_Input5[[#This Row],[Number of units]]*Table_PrescriptLights_Input5[[#This Row],[Full load kW/ton]]*VLOOKUP($E$4,References!$N$103:$Q$115,4,FALSE)*0.05)</f>
        <v/>
      </c>
      <c r="Q34" s="206" t="str">
        <f>IFERROR(Table_PrescriptLights_Input5[[#This Row],[Energy savings (kWh)]]*Input_AvgkWhRate, "")</f>
        <v/>
      </c>
      <c r="R34" s="206" t="str">
        <f>IF(Table_PrescriptLights_Input5[[#This Row],[Unit capacity (tons)]]="", "",#REF!+Table_PrescriptLights_Input5[[#This Row],[Total equipment + labor cost]])</f>
        <v/>
      </c>
      <c r="S34" s="206" t="str">
        <f>IFERROR(Table_PrescriptLights_Input5[[#This Row],[Gross measure cost]]-Table_PrescriptLights_Input5[[#This Row],[Estimated incentive]], "")</f>
        <v/>
      </c>
      <c r="T34" s="207" t="str">
        <f t="shared" si="0"/>
        <v/>
      </c>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row>
    <row r="35" spans="1:48" ht="15" x14ac:dyDescent="0.2">
      <c r="A35" s="163"/>
      <c r="B35" s="171">
        <v>30</v>
      </c>
      <c r="C35" s="172" t="str">
        <f>IFERROR(INDEX(Table_Prescript_Meas[Measure Number], MATCH(E35, Table_Prescript_Meas[Measure Description], 0)), "")</f>
        <v/>
      </c>
      <c r="D35" s="200"/>
      <c r="E35" s="201"/>
      <c r="F35" s="211" t="str">
        <f>IFERROR(INDEX(Table_Prescript_Meas[Units], MATCH(Table_PrescriptLights_Input5[[#This Row],[Measure number]], Table_Prescript_Meas[Measure Number], 0)), "")</f>
        <v/>
      </c>
      <c r="G35" s="203"/>
      <c r="H35" s="204"/>
      <c r="I35" s="212"/>
      <c r="J35" s="213"/>
      <c r="K35" s="213"/>
      <c r="L35" s="205"/>
      <c r="M35"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5" s="206" t="str">
        <f>IF(Table_PrescriptLights_Input5[[#This Row],[Unit capacity (tons)]]="","",IFERROR(Table_PrescriptLights_Input5[[#This Row],[Per-unit incentive]]*Table_PrescriptLights_Input5[[#This Row],[Unit capacity (tons)]]*Table_PrescriptLights_Input5[[#This Row],[Number of units]],""))</f>
        <v/>
      </c>
      <c r="O35" s="207" t="str">
        <f>IF(Table_PrescriptLights_Input5[[#This Row],[Unit capacity (tons)]]="","",Table_PrescriptLights_Input5[[#This Row],[Unit capacity (tons)]]*Table_PrescriptLights_Input5[[#This Row],[Number of units]]*Table_PrescriptLights_Input5[[#This Row],[Part load (IPLV) kW/ton]]*VLOOKUP($E$4,References!$N$103:$Q$115,2,FALSE)*0.05)</f>
        <v/>
      </c>
      <c r="P35" s="208" t="str">
        <f>IF(Table_PrescriptLights_Input5[[#This Row],[Unit capacity (tons)]]="","",Table_PrescriptLights_Input5[[#This Row],[Unit capacity (tons)]]*Table_PrescriptLights_Input5[[#This Row],[Number of units]]*Table_PrescriptLights_Input5[[#This Row],[Full load kW/ton]]*VLOOKUP($E$4,References!$N$103:$Q$115,4,FALSE)*0.05)</f>
        <v/>
      </c>
      <c r="Q35" s="206" t="str">
        <f>IFERROR(Table_PrescriptLights_Input5[[#This Row],[Energy savings (kWh)]]*Input_AvgkWhRate, "")</f>
        <v/>
      </c>
      <c r="R35" s="206" t="str">
        <f>IF(Table_PrescriptLights_Input5[[#This Row],[Unit capacity (tons)]]="", "",#REF!+Table_PrescriptLights_Input5[[#This Row],[Total equipment + labor cost]])</f>
        <v/>
      </c>
      <c r="S35" s="206" t="str">
        <f>IFERROR(Table_PrescriptLights_Input5[[#This Row],[Gross measure cost]]-Table_PrescriptLights_Input5[[#This Row],[Estimated incentive]], "")</f>
        <v/>
      </c>
      <c r="T35" s="207" t="str">
        <f t="shared" si="0"/>
        <v/>
      </c>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row>
    <row r="36" spans="1:48" ht="15" x14ac:dyDescent="0.2">
      <c r="A36" s="163"/>
      <c r="B36" s="171">
        <v>31</v>
      </c>
      <c r="C36" s="172" t="str">
        <f>IFERROR(INDEX(Table_Prescript_Meas[Measure Number], MATCH(E36, Table_Prescript_Meas[Measure Description], 0)), "")</f>
        <v/>
      </c>
      <c r="D36" s="200"/>
      <c r="E36" s="201"/>
      <c r="F36" s="211" t="str">
        <f>IFERROR(INDEX(Table_Prescript_Meas[Units], MATCH(Table_PrescriptLights_Input5[[#This Row],[Measure number]], Table_Prescript_Meas[Measure Number], 0)), "")</f>
        <v/>
      </c>
      <c r="G36" s="203"/>
      <c r="H36" s="204"/>
      <c r="I36" s="212"/>
      <c r="J36" s="213"/>
      <c r="K36" s="213"/>
      <c r="L36" s="205"/>
      <c r="M36"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6" s="206" t="str">
        <f>IF(Table_PrescriptLights_Input5[[#This Row],[Unit capacity (tons)]]="","",IFERROR(Table_PrescriptLights_Input5[[#This Row],[Per-unit incentive]]*Table_PrescriptLights_Input5[[#This Row],[Unit capacity (tons)]]*Table_PrescriptLights_Input5[[#This Row],[Number of units]],""))</f>
        <v/>
      </c>
      <c r="O36" s="207" t="str">
        <f>IF(Table_PrescriptLights_Input5[[#This Row],[Unit capacity (tons)]]="","",Table_PrescriptLights_Input5[[#This Row],[Unit capacity (tons)]]*Table_PrescriptLights_Input5[[#This Row],[Number of units]]*Table_PrescriptLights_Input5[[#This Row],[Part load (IPLV) kW/ton]]*VLOOKUP($E$4,References!$N$103:$Q$115,2,FALSE)*0.05)</f>
        <v/>
      </c>
      <c r="P36" s="208" t="str">
        <f>IF(Table_PrescriptLights_Input5[[#This Row],[Unit capacity (tons)]]="","",Table_PrescriptLights_Input5[[#This Row],[Unit capacity (tons)]]*Table_PrescriptLights_Input5[[#This Row],[Number of units]]*Table_PrescriptLights_Input5[[#This Row],[Full load kW/ton]]*VLOOKUP($E$4,References!$N$103:$Q$115,4,FALSE)*0.05)</f>
        <v/>
      </c>
      <c r="Q36" s="206" t="str">
        <f>IFERROR(Table_PrescriptLights_Input5[[#This Row],[Energy savings (kWh)]]*Input_AvgkWhRate, "")</f>
        <v/>
      </c>
      <c r="R36" s="206" t="str">
        <f>IF(Table_PrescriptLights_Input5[[#This Row],[Unit capacity (tons)]]="", "",#REF!+Table_PrescriptLights_Input5[[#This Row],[Total equipment + labor cost]])</f>
        <v/>
      </c>
      <c r="S36" s="206" t="str">
        <f>IFERROR(Table_PrescriptLights_Input5[[#This Row],[Gross measure cost]]-Table_PrescriptLights_Input5[[#This Row],[Estimated incentive]], "")</f>
        <v/>
      </c>
      <c r="T36" s="207" t="str">
        <f t="shared" si="0"/>
        <v/>
      </c>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row>
    <row r="37" spans="1:48" ht="15" x14ac:dyDescent="0.2">
      <c r="A37" s="163"/>
      <c r="B37" s="171">
        <v>32</v>
      </c>
      <c r="C37" s="172" t="str">
        <f>IFERROR(INDEX(Table_Prescript_Meas[Measure Number], MATCH(E37, Table_Prescript_Meas[Measure Description], 0)), "")</f>
        <v/>
      </c>
      <c r="D37" s="200"/>
      <c r="E37" s="201"/>
      <c r="F37" s="211" t="str">
        <f>IFERROR(INDEX(Table_Prescript_Meas[Units], MATCH(Table_PrescriptLights_Input5[[#This Row],[Measure number]], Table_Prescript_Meas[Measure Number], 0)), "")</f>
        <v/>
      </c>
      <c r="G37" s="203"/>
      <c r="H37" s="204"/>
      <c r="I37" s="212"/>
      <c r="J37" s="213"/>
      <c r="K37" s="213"/>
      <c r="L37" s="205"/>
      <c r="M37"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7" s="206" t="str">
        <f>IF(Table_PrescriptLights_Input5[[#This Row],[Unit capacity (tons)]]="","",IFERROR(Table_PrescriptLights_Input5[[#This Row],[Per-unit incentive]]*Table_PrescriptLights_Input5[[#This Row],[Unit capacity (tons)]]*Table_PrescriptLights_Input5[[#This Row],[Number of units]],""))</f>
        <v/>
      </c>
      <c r="O37" s="207" t="str">
        <f>IF(Table_PrescriptLights_Input5[[#This Row],[Unit capacity (tons)]]="","",Table_PrescriptLights_Input5[[#This Row],[Unit capacity (tons)]]*Table_PrescriptLights_Input5[[#This Row],[Number of units]]*Table_PrescriptLights_Input5[[#This Row],[Part load (IPLV) kW/ton]]*VLOOKUP($E$4,References!$N$103:$Q$115,2,FALSE)*0.05)</f>
        <v/>
      </c>
      <c r="P37" s="208" t="str">
        <f>IF(Table_PrescriptLights_Input5[[#This Row],[Unit capacity (tons)]]="","",Table_PrescriptLights_Input5[[#This Row],[Unit capacity (tons)]]*Table_PrescriptLights_Input5[[#This Row],[Number of units]]*Table_PrescriptLights_Input5[[#This Row],[Full load kW/ton]]*VLOOKUP($E$4,References!$N$103:$Q$115,4,FALSE)*0.05)</f>
        <v/>
      </c>
      <c r="Q37" s="206" t="str">
        <f>IFERROR(Table_PrescriptLights_Input5[[#This Row],[Energy savings (kWh)]]*Input_AvgkWhRate, "")</f>
        <v/>
      </c>
      <c r="R37" s="206" t="str">
        <f>IF(Table_PrescriptLights_Input5[[#This Row],[Unit capacity (tons)]]="", "",#REF!+Table_PrescriptLights_Input5[[#This Row],[Total equipment + labor cost]])</f>
        <v/>
      </c>
      <c r="S37" s="206" t="str">
        <f>IFERROR(Table_PrescriptLights_Input5[[#This Row],[Gross measure cost]]-Table_PrescriptLights_Input5[[#This Row],[Estimated incentive]], "")</f>
        <v/>
      </c>
      <c r="T37" s="207" t="str">
        <f t="shared" si="0"/>
        <v/>
      </c>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row>
    <row r="38" spans="1:48" ht="15" x14ac:dyDescent="0.2">
      <c r="A38" s="163"/>
      <c r="B38" s="171">
        <v>33</v>
      </c>
      <c r="C38" s="172" t="str">
        <f>IFERROR(INDEX(Table_Prescript_Meas[Measure Number], MATCH(E38, Table_Prescript_Meas[Measure Description], 0)), "")</f>
        <v/>
      </c>
      <c r="D38" s="200"/>
      <c r="E38" s="201"/>
      <c r="F38" s="211" t="str">
        <f>IFERROR(INDEX(Table_Prescript_Meas[Units], MATCH(Table_PrescriptLights_Input5[[#This Row],[Measure number]], Table_Prescript_Meas[Measure Number], 0)), "")</f>
        <v/>
      </c>
      <c r="G38" s="203"/>
      <c r="H38" s="204"/>
      <c r="I38" s="212"/>
      <c r="J38" s="213"/>
      <c r="K38" s="213"/>
      <c r="L38" s="205"/>
      <c r="M38"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8" s="206" t="str">
        <f>IF(Table_PrescriptLights_Input5[[#This Row],[Unit capacity (tons)]]="","",IFERROR(Table_PrescriptLights_Input5[[#This Row],[Per-unit incentive]]*Table_PrescriptLights_Input5[[#This Row],[Unit capacity (tons)]]*Table_PrescriptLights_Input5[[#This Row],[Number of units]],""))</f>
        <v/>
      </c>
      <c r="O38" s="207" t="str">
        <f>IF(Table_PrescriptLights_Input5[[#This Row],[Unit capacity (tons)]]="","",Table_PrescriptLights_Input5[[#This Row],[Unit capacity (tons)]]*Table_PrescriptLights_Input5[[#This Row],[Number of units]]*Table_PrescriptLights_Input5[[#This Row],[Part load (IPLV) kW/ton]]*VLOOKUP($E$4,References!$N$103:$Q$115,2,FALSE)*0.05)</f>
        <v/>
      </c>
      <c r="P38" s="208" t="str">
        <f>IF(Table_PrescriptLights_Input5[[#This Row],[Unit capacity (tons)]]="","",Table_PrescriptLights_Input5[[#This Row],[Unit capacity (tons)]]*Table_PrescriptLights_Input5[[#This Row],[Number of units]]*Table_PrescriptLights_Input5[[#This Row],[Full load kW/ton]]*VLOOKUP($E$4,References!$N$103:$Q$115,4,FALSE)*0.05)</f>
        <v/>
      </c>
      <c r="Q38" s="206" t="str">
        <f>IFERROR(Table_PrescriptLights_Input5[[#This Row],[Energy savings (kWh)]]*Input_AvgkWhRate, "")</f>
        <v/>
      </c>
      <c r="R38" s="206" t="str">
        <f>IF(Table_PrescriptLights_Input5[[#This Row],[Unit capacity (tons)]]="", "",#REF!+Table_PrescriptLights_Input5[[#This Row],[Total equipment + labor cost]])</f>
        <v/>
      </c>
      <c r="S38" s="206" t="str">
        <f>IFERROR(Table_PrescriptLights_Input5[[#This Row],[Gross measure cost]]-Table_PrescriptLights_Input5[[#This Row],[Estimated incentive]], "")</f>
        <v/>
      </c>
      <c r="T38" s="207" t="str">
        <f t="shared" si="0"/>
        <v/>
      </c>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row>
    <row r="39" spans="1:48" ht="15" x14ac:dyDescent="0.2">
      <c r="A39" s="163"/>
      <c r="B39" s="171">
        <v>34</v>
      </c>
      <c r="C39" s="172" t="str">
        <f>IFERROR(INDEX(Table_Prescript_Meas[Measure Number], MATCH(E39, Table_Prescript_Meas[Measure Description], 0)), "")</f>
        <v/>
      </c>
      <c r="D39" s="200"/>
      <c r="E39" s="201"/>
      <c r="F39" s="211" t="str">
        <f>IFERROR(INDEX(Table_Prescript_Meas[Units], MATCH(Table_PrescriptLights_Input5[[#This Row],[Measure number]], Table_Prescript_Meas[Measure Number], 0)), "")</f>
        <v/>
      </c>
      <c r="G39" s="203"/>
      <c r="H39" s="204"/>
      <c r="I39" s="212"/>
      <c r="J39" s="213"/>
      <c r="K39" s="213"/>
      <c r="L39" s="205"/>
      <c r="M39"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39" s="206" t="str">
        <f>IF(Table_PrescriptLights_Input5[[#This Row],[Unit capacity (tons)]]="","",IFERROR(Table_PrescriptLights_Input5[[#This Row],[Per-unit incentive]]*Table_PrescriptLights_Input5[[#This Row],[Unit capacity (tons)]]*Table_PrescriptLights_Input5[[#This Row],[Number of units]],""))</f>
        <v/>
      </c>
      <c r="O39" s="207" t="str">
        <f>IF(Table_PrescriptLights_Input5[[#This Row],[Unit capacity (tons)]]="","",Table_PrescriptLights_Input5[[#This Row],[Unit capacity (tons)]]*Table_PrescriptLights_Input5[[#This Row],[Number of units]]*Table_PrescriptLights_Input5[[#This Row],[Part load (IPLV) kW/ton]]*VLOOKUP($E$4,References!$N$103:$Q$115,2,FALSE)*0.05)</f>
        <v/>
      </c>
      <c r="P39" s="208" t="str">
        <f>IF(Table_PrescriptLights_Input5[[#This Row],[Unit capacity (tons)]]="","",Table_PrescriptLights_Input5[[#This Row],[Unit capacity (tons)]]*Table_PrescriptLights_Input5[[#This Row],[Number of units]]*Table_PrescriptLights_Input5[[#This Row],[Full load kW/ton]]*VLOOKUP($E$4,References!$N$103:$Q$115,4,FALSE)*0.05)</f>
        <v/>
      </c>
      <c r="Q39" s="206" t="str">
        <f>IFERROR(Table_PrescriptLights_Input5[[#This Row],[Energy savings (kWh)]]*Input_AvgkWhRate, "")</f>
        <v/>
      </c>
      <c r="R39" s="206" t="str">
        <f>IF(Table_PrescriptLights_Input5[[#This Row],[Unit capacity (tons)]]="", "",#REF!+Table_PrescriptLights_Input5[[#This Row],[Total equipment + labor cost]])</f>
        <v/>
      </c>
      <c r="S39" s="206" t="str">
        <f>IFERROR(Table_PrescriptLights_Input5[[#This Row],[Gross measure cost]]-Table_PrescriptLights_Input5[[#This Row],[Estimated incentive]], "")</f>
        <v/>
      </c>
      <c r="T39" s="207" t="str">
        <f t="shared" si="0"/>
        <v/>
      </c>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row>
    <row r="40" spans="1:48" ht="15" x14ac:dyDescent="0.2">
      <c r="A40" s="163"/>
      <c r="B40" s="171">
        <v>35</v>
      </c>
      <c r="C40" s="172" t="str">
        <f>IFERROR(INDEX(Table_Prescript_Meas[Measure Number], MATCH(E40, Table_Prescript_Meas[Measure Description], 0)), "")</f>
        <v/>
      </c>
      <c r="D40" s="200"/>
      <c r="E40" s="201"/>
      <c r="F40" s="211" t="str">
        <f>IFERROR(INDEX(Table_Prescript_Meas[Units], MATCH(Table_PrescriptLights_Input5[[#This Row],[Measure number]], Table_Prescript_Meas[Measure Number], 0)), "")</f>
        <v/>
      </c>
      <c r="G40" s="203"/>
      <c r="H40" s="204"/>
      <c r="I40" s="212"/>
      <c r="J40" s="213"/>
      <c r="K40" s="213"/>
      <c r="L40" s="205"/>
      <c r="M40"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0" s="206" t="str">
        <f>IF(Table_PrescriptLights_Input5[[#This Row],[Unit capacity (tons)]]="","",IFERROR(Table_PrescriptLights_Input5[[#This Row],[Per-unit incentive]]*Table_PrescriptLights_Input5[[#This Row],[Unit capacity (tons)]]*Table_PrescriptLights_Input5[[#This Row],[Number of units]],""))</f>
        <v/>
      </c>
      <c r="O40" s="207" t="str">
        <f>IF(Table_PrescriptLights_Input5[[#This Row],[Unit capacity (tons)]]="","",Table_PrescriptLights_Input5[[#This Row],[Unit capacity (tons)]]*Table_PrescriptLights_Input5[[#This Row],[Number of units]]*Table_PrescriptLights_Input5[[#This Row],[Part load (IPLV) kW/ton]]*VLOOKUP($E$4,References!$N$103:$Q$115,2,FALSE)*0.05)</f>
        <v/>
      </c>
      <c r="P40" s="208" t="str">
        <f>IF(Table_PrescriptLights_Input5[[#This Row],[Unit capacity (tons)]]="","",Table_PrescriptLights_Input5[[#This Row],[Unit capacity (tons)]]*Table_PrescriptLights_Input5[[#This Row],[Number of units]]*Table_PrescriptLights_Input5[[#This Row],[Full load kW/ton]]*VLOOKUP($E$4,References!$N$103:$Q$115,4,FALSE)*0.05)</f>
        <v/>
      </c>
      <c r="Q40" s="206" t="str">
        <f>IFERROR(Table_PrescriptLights_Input5[[#This Row],[Energy savings (kWh)]]*Input_AvgkWhRate, "")</f>
        <v/>
      </c>
      <c r="R40" s="206" t="str">
        <f>IF(Table_PrescriptLights_Input5[[#This Row],[Unit capacity (tons)]]="", "",#REF!+Table_PrescriptLights_Input5[[#This Row],[Total equipment + labor cost]])</f>
        <v/>
      </c>
      <c r="S40" s="206" t="str">
        <f>IFERROR(Table_PrescriptLights_Input5[[#This Row],[Gross measure cost]]-Table_PrescriptLights_Input5[[#This Row],[Estimated incentive]], "")</f>
        <v/>
      </c>
      <c r="T40" s="207" t="str">
        <f t="shared" si="0"/>
        <v/>
      </c>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row>
    <row r="41" spans="1:48" ht="15" x14ac:dyDescent="0.2">
      <c r="A41" s="163"/>
      <c r="B41" s="171">
        <v>36</v>
      </c>
      <c r="C41" s="172" t="str">
        <f>IFERROR(INDEX(Table_Prescript_Meas[Measure Number], MATCH(E41, Table_Prescript_Meas[Measure Description], 0)), "")</f>
        <v/>
      </c>
      <c r="D41" s="200"/>
      <c r="E41" s="201"/>
      <c r="F41" s="211" t="str">
        <f>IFERROR(INDEX(Table_Prescript_Meas[Units], MATCH(Table_PrescriptLights_Input5[[#This Row],[Measure number]], Table_Prescript_Meas[Measure Number], 0)), "")</f>
        <v/>
      </c>
      <c r="G41" s="203"/>
      <c r="H41" s="204"/>
      <c r="I41" s="212"/>
      <c r="J41" s="213"/>
      <c r="K41" s="213"/>
      <c r="L41" s="205"/>
      <c r="M41"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1" s="206" t="str">
        <f>IF(Table_PrescriptLights_Input5[[#This Row],[Unit capacity (tons)]]="","",IFERROR(Table_PrescriptLights_Input5[[#This Row],[Per-unit incentive]]*Table_PrescriptLights_Input5[[#This Row],[Unit capacity (tons)]]*Table_PrescriptLights_Input5[[#This Row],[Number of units]],""))</f>
        <v/>
      </c>
      <c r="O41" s="207" t="str">
        <f>IF(Table_PrescriptLights_Input5[[#This Row],[Unit capacity (tons)]]="","",Table_PrescriptLights_Input5[[#This Row],[Unit capacity (tons)]]*Table_PrescriptLights_Input5[[#This Row],[Number of units]]*Table_PrescriptLights_Input5[[#This Row],[Part load (IPLV) kW/ton]]*VLOOKUP($E$4,References!$N$103:$Q$115,2,FALSE)*0.05)</f>
        <v/>
      </c>
      <c r="P41" s="208" t="str">
        <f>IF(Table_PrescriptLights_Input5[[#This Row],[Unit capacity (tons)]]="","",Table_PrescriptLights_Input5[[#This Row],[Unit capacity (tons)]]*Table_PrescriptLights_Input5[[#This Row],[Number of units]]*Table_PrescriptLights_Input5[[#This Row],[Full load kW/ton]]*VLOOKUP($E$4,References!$N$103:$Q$115,4,FALSE)*0.05)</f>
        <v/>
      </c>
      <c r="Q41" s="206" t="str">
        <f>IFERROR(Table_PrescriptLights_Input5[[#This Row],[Energy savings (kWh)]]*Input_AvgkWhRate, "")</f>
        <v/>
      </c>
      <c r="R41" s="206" t="str">
        <f>IF(Table_PrescriptLights_Input5[[#This Row],[Unit capacity (tons)]]="", "",#REF!+Table_PrescriptLights_Input5[[#This Row],[Total equipment + labor cost]])</f>
        <v/>
      </c>
      <c r="S41" s="206" t="str">
        <f>IFERROR(Table_PrescriptLights_Input5[[#This Row],[Gross measure cost]]-Table_PrescriptLights_Input5[[#This Row],[Estimated incentive]], "")</f>
        <v/>
      </c>
      <c r="T41" s="207" t="str">
        <f t="shared" si="0"/>
        <v/>
      </c>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row>
    <row r="42" spans="1:48" ht="15" x14ac:dyDescent="0.2">
      <c r="A42" s="163"/>
      <c r="B42" s="171">
        <v>37</v>
      </c>
      <c r="C42" s="172" t="str">
        <f>IFERROR(INDEX(Table_Prescript_Meas[Measure Number], MATCH(E42, Table_Prescript_Meas[Measure Description], 0)), "")</f>
        <v/>
      </c>
      <c r="D42" s="200"/>
      <c r="E42" s="201"/>
      <c r="F42" s="211" t="str">
        <f>IFERROR(INDEX(Table_Prescript_Meas[Units], MATCH(Table_PrescriptLights_Input5[[#This Row],[Measure number]], Table_Prescript_Meas[Measure Number], 0)), "")</f>
        <v/>
      </c>
      <c r="G42" s="203"/>
      <c r="H42" s="204"/>
      <c r="I42" s="212"/>
      <c r="J42" s="213"/>
      <c r="K42" s="213"/>
      <c r="L42" s="205"/>
      <c r="M42"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2" s="206" t="str">
        <f>IF(Table_PrescriptLights_Input5[[#This Row],[Unit capacity (tons)]]="","",IFERROR(Table_PrescriptLights_Input5[[#This Row],[Per-unit incentive]]*Table_PrescriptLights_Input5[[#This Row],[Unit capacity (tons)]]*Table_PrescriptLights_Input5[[#This Row],[Number of units]],""))</f>
        <v/>
      </c>
      <c r="O42" s="207" t="str">
        <f>IF(Table_PrescriptLights_Input5[[#This Row],[Unit capacity (tons)]]="","",Table_PrescriptLights_Input5[[#This Row],[Unit capacity (tons)]]*Table_PrescriptLights_Input5[[#This Row],[Number of units]]*Table_PrescriptLights_Input5[[#This Row],[Part load (IPLV) kW/ton]]*VLOOKUP($E$4,References!$N$103:$Q$115,2,FALSE)*0.05)</f>
        <v/>
      </c>
      <c r="P42" s="208" t="str">
        <f>IF(Table_PrescriptLights_Input5[[#This Row],[Unit capacity (tons)]]="","",Table_PrescriptLights_Input5[[#This Row],[Unit capacity (tons)]]*Table_PrescriptLights_Input5[[#This Row],[Number of units]]*Table_PrescriptLights_Input5[[#This Row],[Full load kW/ton]]*VLOOKUP($E$4,References!$N$103:$Q$115,4,FALSE)*0.05)</f>
        <v/>
      </c>
      <c r="Q42" s="206" t="str">
        <f>IFERROR(Table_PrescriptLights_Input5[[#This Row],[Energy savings (kWh)]]*Input_AvgkWhRate, "")</f>
        <v/>
      </c>
      <c r="R42" s="206" t="str">
        <f>IF(Table_PrescriptLights_Input5[[#This Row],[Unit capacity (tons)]]="", "",#REF!+Table_PrescriptLights_Input5[[#This Row],[Total equipment + labor cost]])</f>
        <v/>
      </c>
      <c r="S42" s="206" t="str">
        <f>IFERROR(Table_PrescriptLights_Input5[[#This Row],[Gross measure cost]]-Table_PrescriptLights_Input5[[#This Row],[Estimated incentive]], "")</f>
        <v/>
      </c>
      <c r="T42" s="207" t="str">
        <f t="shared" si="0"/>
        <v/>
      </c>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row>
    <row r="43" spans="1:48" ht="15" x14ac:dyDescent="0.2">
      <c r="A43" s="163"/>
      <c r="B43" s="171">
        <v>38</v>
      </c>
      <c r="C43" s="172" t="str">
        <f>IFERROR(INDEX(Table_Prescript_Meas[Measure Number], MATCH(E43, Table_Prescript_Meas[Measure Description], 0)), "")</f>
        <v/>
      </c>
      <c r="D43" s="200"/>
      <c r="E43" s="201"/>
      <c r="F43" s="211" t="str">
        <f>IFERROR(INDEX(Table_Prescript_Meas[Units], MATCH(Table_PrescriptLights_Input5[[#This Row],[Measure number]], Table_Prescript_Meas[Measure Number], 0)), "")</f>
        <v/>
      </c>
      <c r="G43" s="203"/>
      <c r="H43" s="204"/>
      <c r="I43" s="212"/>
      <c r="J43" s="213"/>
      <c r="K43" s="213"/>
      <c r="L43" s="205"/>
      <c r="M43"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3" s="206" t="str">
        <f>IF(Table_PrescriptLights_Input5[[#This Row],[Unit capacity (tons)]]="","",IFERROR(Table_PrescriptLights_Input5[[#This Row],[Per-unit incentive]]*Table_PrescriptLights_Input5[[#This Row],[Unit capacity (tons)]]*Table_PrescriptLights_Input5[[#This Row],[Number of units]],""))</f>
        <v/>
      </c>
      <c r="O43" s="207" t="str">
        <f>IF(Table_PrescriptLights_Input5[[#This Row],[Unit capacity (tons)]]="","",Table_PrescriptLights_Input5[[#This Row],[Unit capacity (tons)]]*Table_PrescriptLights_Input5[[#This Row],[Number of units]]*Table_PrescriptLights_Input5[[#This Row],[Part load (IPLV) kW/ton]]*VLOOKUP($E$4,References!$N$103:$Q$115,2,FALSE)*0.05)</f>
        <v/>
      </c>
      <c r="P43" s="208" t="str">
        <f>IF(Table_PrescriptLights_Input5[[#This Row],[Unit capacity (tons)]]="","",Table_PrescriptLights_Input5[[#This Row],[Unit capacity (tons)]]*Table_PrescriptLights_Input5[[#This Row],[Number of units]]*Table_PrescriptLights_Input5[[#This Row],[Full load kW/ton]]*VLOOKUP($E$4,References!$N$103:$Q$115,4,FALSE)*0.05)</f>
        <v/>
      </c>
      <c r="Q43" s="206" t="str">
        <f>IFERROR(Table_PrescriptLights_Input5[[#This Row],[Energy savings (kWh)]]*Input_AvgkWhRate, "")</f>
        <v/>
      </c>
      <c r="R43" s="206" t="str">
        <f>IF(Table_PrescriptLights_Input5[[#This Row],[Unit capacity (tons)]]="", "",#REF!+Table_PrescriptLights_Input5[[#This Row],[Total equipment + labor cost]])</f>
        <v/>
      </c>
      <c r="S43" s="206" t="str">
        <f>IFERROR(Table_PrescriptLights_Input5[[#This Row],[Gross measure cost]]-Table_PrescriptLights_Input5[[#This Row],[Estimated incentive]], "")</f>
        <v/>
      </c>
      <c r="T43" s="207" t="str">
        <f t="shared" si="0"/>
        <v/>
      </c>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row>
    <row r="44" spans="1:48" ht="15" x14ac:dyDescent="0.2">
      <c r="A44" s="163"/>
      <c r="B44" s="171">
        <v>39</v>
      </c>
      <c r="C44" s="172" t="str">
        <f>IFERROR(INDEX(Table_Prescript_Meas[Measure Number], MATCH(E44, Table_Prescript_Meas[Measure Description], 0)), "")</f>
        <v/>
      </c>
      <c r="D44" s="200"/>
      <c r="E44" s="201"/>
      <c r="F44" s="211" t="str">
        <f>IFERROR(INDEX(Table_Prescript_Meas[Units], MATCH(Table_PrescriptLights_Input5[[#This Row],[Measure number]], Table_Prescript_Meas[Measure Number], 0)), "")</f>
        <v/>
      </c>
      <c r="G44" s="203"/>
      <c r="H44" s="204"/>
      <c r="I44" s="212"/>
      <c r="J44" s="213"/>
      <c r="K44" s="213"/>
      <c r="L44" s="205"/>
      <c r="M44"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4" s="206" t="str">
        <f>IF(Table_PrescriptLights_Input5[[#This Row],[Unit capacity (tons)]]="","",IFERROR(Table_PrescriptLights_Input5[[#This Row],[Per-unit incentive]]*Table_PrescriptLights_Input5[[#This Row],[Unit capacity (tons)]]*Table_PrescriptLights_Input5[[#This Row],[Number of units]],""))</f>
        <v/>
      </c>
      <c r="O44" s="207" t="str">
        <f>IF(Table_PrescriptLights_Input5[[#This Row],[Unit capacity (tons)]]="","",Table_PrescriptLights_Input5[[#This Row],[Unit capacity (tons)]]*Table_PrescriptLights_Input5[[#This Row],[Number of units]]*Table_PrescriptLights_Input5[[#This Row],[Part load (IPLV) kW/ton]]*VLOOKUP($E$4,References!$N$103:$Q$115,2,FALSE)*0.05)</f>
        <v/>
      </c>
      <c r="P44" s="208" t="str">
        <f>IF(Table_PrescriptLights_Input5[[#This Row],[Unit capacity (tons)]]="","",Table_PrescriptLights_Input5[[#This Row],[Unit capacity (tons)]]*Table_PrescriptLights_Input5[[#This Row],[Number of units]]*Table_PrescriptLights_Input5[[#This Row],[Full load kW/ton]]*VLOOKUP($E$4,References!$N$103:$Q$115,4,FALSE)*0.05)</f>
        <v/>
      </c>
      <c r="Q44" s="206" t="str">
        <f>IFERROR(Table_PrescriptLights_Input5[[#This Row],[Energy savings (kWh)]]*Input_AvgkWhRate, "")</f>
        <v/>
      </c>
      <c r="R44" s="206" t="str">
        <f>IF(Table_PrescriptLights_Input5[[#This Row],[Unit capacity (tons)]]="", "",#REF!+Table_PrescriptLights_Input5[[#This Row],[Total equipment + labor cost]])</f>
        <v/>
      </c>
      <c r="S44" s="206" t="str">
        <f>IFERROR(Table_PrescriptLights_Input5[[#This Row],[Gross measure cost]]-Table_PrescriptLights_Input5[[#This Row],[Estimated incentive]], "")</f>
        <v/>
      </c>
      <c r="T44" s="207" t="str">
        <f t="shared" si="0"/>
        <v/>
      </c>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row>
    <row r="45" spans="1:48" ht="15" x14ac:dyDescent="0.2">
      <c r="A45" s="163"/>
      <c r="B45" s="171">
        <v>40</v>
      </c>
      <c r="C45" s="172" t="str">
        <f>IFERROR(INDEX(Table_Prescript_Meas[Measure Number], MATCH(E45, Table_Prescript_Meas[Measure Description], 0)), "")</f>
        <v/>
      </c>
      <c r="D45" s="200"/>
      <c r="E45" s="201"/>
      <c r="F45" s="211" t="str">
        <f>IFERROR(INDEX(Table_Prescript_Meas[Units], MATCH(Table_PrescriptLights_Input5[[#This Row],[Measure number]], Table_Prescript_Meas[Measure Number], 0)), "")</f>
        <v/>
      </c>
      <c r="G45" s="203"/>
      <c r="H45" s="204"/>
      <c r="I45" s="212"/>
      <c r="J45" s="213"/>
      <c r="K45" s="213"/>
      <c r="L45" s="205"/>
      <c r="M45"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5" s="206" t="str">
        <f>IF(Table_PrescriptLights_Input5[[#This Row],[Unit capacity (tons)]]="","",IFERROR(Table_PrescriptLights_Input5[[#This Row],[Per-unit incentive]]*Table_PrescriptLights_Input5[[#This Row],[Unit capacity (tons)]]*Table_PrescriptLights_Input5[[#This Row],[Number of units]],""))</f>
        <v/>
      </c>
      <c r="O45" s="207" t="str">
        <f>IF(Table_PrescriptLights_Input5[[#This Row],[Unit capacity (tons)]]="","",Table_PrescriptLights_Input5[[#This Row],[Unit capacity (tons)]]*Table_PrescriptLights_Input5[[#This Row],[Number of units]]*Table_PrescriptLights_Input5[[#This Row],[Part load (IPLV) kW/ton]]*VLOOKUP($E$4,References!$N$103:$Q$115,2,FALSE)*0.05)</f>
        <v/>
      </c>
      <c r="P45" s="208" t="str">
        <f>IF(Table_PrescriptLights_Input5[[#This Row],[Unit capacity (tons)]]="","",Table_PrescriptLights_Input5[[#This Row],[Unit capacity (tons)]]*Table_PrescriptLights_Input5[[#This Row],[Number of units]]*Table_PrescriptLights_Input5[[#This Row],[Full load kW/ton]]*VLOOKUP($E$4,References!$N$103:$Q$115,4,FALSE)*0.05)</f>
        <v/>
      </c>
      <c r="Q45" s="206" t="str">
        <f>IFERROR(Table_PrescriptLights_Input5[[#This Row],[Energy savings (kWh)]]*Input_AvgkWhRate, "")</f>
        <v/>
      </c>
      <c r="R45" s="206" t="str">
        <f>IF(Table_PrescriptLights_Input5[[#This Row],[Unit capacity (tons)]]="", "",#REF!+Table_PrescriptLights_Input5[[#This Row],[Total equipment + labor cost]])</f>
        <v/>
      </c>
      <c r="S45" s="206" t="str">
        <f>IFERROR(Table_PrescriptLights_Input5[[#This Row],[Gross measure cost]]-Table_PrescriptLights_Input5[[#This Row],[Estimated incentive]], "")</f>
        <v/>
      </c>
      <c r="T45" s="207" t="str">
        <f t="shared" si="0"/>
        <v/>
      </c>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row>
    <row r="46" spans="1:48" ht="15" x14ac:dyDescent="0.2">
      <c r="A46" s="163"/>
      <c r="B46" s="171">
        <v>41</v>
      </c>
      <c r="C46" s="172" t="str">
        <f>IFERROR(INDEX(Table_Prescript_Meas[Measure Number], MATCH(E46, Table_Prescript_Meas[Measure Description], 0)), "")</f>
        <v/>
      </c>
      <c r="D46" s="200"/>
      <c r="E46" s="201"/>
      <c r="F46" s="211" t="str">
        <f>IFERROR(INDEX(Table_Prescript_Meas[Units], MATCH(Table_PrescriptLights_Input5[[#This Row],[Measure number]], Table_Prescript_Meas[Measure Number], 0)), "")</f>
        <v/>
      </c>
      <c r="G46" s="203"/>
      <c r="H46" s="204"/>
      <c r="I46" s="212"/>
      <c r="J46" s="213"/>
      <c r="K46" s="213"/>
      <c r="L46" s="205"/>
      <c r="M46"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6" s="206" t="str">
        <f>IF(Table_PrescriptLights_Input5[[#This Row],[Unit capacity (tons)]]="","",IFERROR(Table_PrescriptLights_Input5[[#This Row],[Per-unit incentive]]*Table_PrescriptLights_Input5[[#This Row],[Unit capacity (tons)]]*Table_PrescriptLights_Input5[[#This Row],[Number of units]],""))</f>
        <v/>
      </c>
      <c r="O46" s="207" t="str">
        <f>IF(Table_PrescriptLights_Input5[[#This Row],[Unit capacity (tons)]]="","",Table_PrescriptLights_Input5[[#This Row],[Unit capacity (tons)]]*Table_PrescriptLights_Input5[[#This Row],[Number of units]]*Table_PrescriptLights_Input5[[#This Row],[Part load (IPLV) kW/ton]]*VLOOKUP($E$4,References!$N$103:$Q$115,2,FALSE)*0.05)</f>
        <v/>
      </c>
      <c r="P46" s="208" t="str">
        <f>IF(Table_PrescriptLights_Input5[[#This Row],[Unit capacity (tons)]]="","",Table_PrescriptLights_Input5[[#This Row],[Unit capacity (tons)]]*Table_PrescriptLights_Input5[[#This Row],[Number of units]]*Table_PrescriptLights_Input5[[#This Row],[Full load kW/ton]]*VLOOKUP($E$4,References!$N$103:$Q$115,4,FALSE)*0.05)</f>
        <v/>
      </c>
      <c r="Q46" s="206" t="str">
        <f>IFERROR(Table_PrescriptLights_Input5[[#This Row],[Energy savings (kWh)]]*Input_AvgkWhRate, "")</f>
        <v/>
      </c>
      <c r="R46" s="206" t="str">
        <f>IF(Table_PrescriptLights_Input5[[#This Row],[Unit capacity (tons)]]="", "",#REF!+Table_PrescriptLights_Input5[[#This Row],[Total equipment + labor cost]])</f>
        <v/>
      </c>
      <c r="S46" s="206" t="str">
        <f>IFERROR(Table_PrescriptLights_Input5[[#This Row],[Gross measure cost]]-Table_PrescriptLights_Input5[[#This Row],[Estimated incentive]], "")</f>
        <v/>
      </c>
      <c r="T46" s="207" t="str">
        <f t="shared" si="0"/>
        <v/>
      </c>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row>
    <row r="47" spans="1:48" ht="15" x14ac:dyDescent="0.2">
      <c r="A47" s="163"/>
      <c r="B47" s="171">
        <v>42</v>
      </c>
      <c r="C47" s="172" t="str">
        <f>IFERROR(INDEX(Table_Prescript_Meas[Measure Number], MATCH(E47, Table_Prescript_Meas[Measure Description], 0)), "")</f>
        <v/>
      </c>
      <c r="D47" s="200"/>
      <c r="E47" s="201"/>
      <c r="F47" s="211" t="str">
        <f>IFERROR(INDEX(Table_Prescript_Meas[Units], MATCH(Table_PrescriptLights_Input5[[#This Row],[Measure number]], Table_Prescript_Meas[Measure Number], 0)), "")</f>
        <v/>
      </c>
      <c r="G47" s="203"/>
      <c r="H47" s="204"/>
      <c r="I47" s="212"/>
      <c r="J47" s="213"/>
      <c r="K47" s="213"/>
      <c r="L47" s="205"/>
      <c r="M47"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7" s="206" t="str">
        <f>IF(Table_PrescriptLights_Input5[[#This Row],[Unit capacity (tons)]]="","",IFERROR(Table_PrescriptLights_Input5[[#This Row],[Per-unit incentive]]*Table_PrescriptLights_Input5[[#This Row],[Unit capacity (tons)]]*Table_PrescriptLights_Input5[[#This Row],[Number of units]],""))</f>
        <v/>
      </c>
      <c r="O47" s="207" t="str">
        <f>IF(Table_PrescriptLights_Input5[[#This Row],[Unit capacity (tons)]]="","",Table_PrescriptLights_Input5[[#This Row],[Unit capacity (tons)]]*Table_PrescriptLights_Input5[[#This Row],[Number of units]]*Table_PrescriptLights_Input5[[#This Row],[Part load (IPLV) kW/ton]]*VLOOKUP($E$4,References!$N$103:$Q$115,2,FALSE)*0.05)</f>
        <v/>
      </c>
      <c r="P47" s="208" t="str">
        <f>IF(Table_PrescriptLights_Input5[[#This Row],[Unit capacity (tons)]]="","",Table_PrescriptLights_Input5[[#This Row],[Unit capacity (tons)]]*Table_PrescriptLights_Input5[[#This Row],[Number of units]]*Table_PrescriptLights_Input5[[#This Row],[Full load kW/ton]]*VLOOKUP($E$4,References!$N$103:$Q$115,4,FALSE)*0.05)</f>
        <v/>
      </c>
      <c r="Q47" s="206" t="str">
        <f>IFERROR(Table_PrescriptLights_Input5[[#This Row],[Energy savings (kWh)]]*Input_AvgkWhRate, "")</f>
        <v/>
      </c>
      <c r="R47" s="206" t="str">
        <f>IF(Table_PrescriptLights_Input5[[#This Row],[Unit capacity (tons)]]="", "",#REF!+Table_PrescriptLights_Input5[[#This Row],[Total equipment + labor cost]])</f>
        <v/>
      </c>
      <c r="S47" s="206" t="str">
        <f>IFERROR(Table_PrescriptLights_Input5[[#This Row],[Gross measure cost]]-Table_PrescriptLights_Input5[[#This Row],[Estimated incentive]], "")</f>
        <v/>
      </c>
      <c r="T47" s="207" t="str">
        <f t="shared" si="0"/>
        <v/>
      </c>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row>
    <row r="48" spans="1:48" ht="15" x14ac:dyDescent="0.2">
      <c r="A48" s="163"/>
      <c r="B48" s="171">
        <v>43</v>
      </c>
      <c r="C48" s="172" t="str">
        <f>IFERROR(INDEX(Table_Prescript_Meas[Measure Number], MATCH(E48, Table_Prescript_Meas[Measure Description], 0)), "")</f>
        <v/>
      </c>
      <c r="D48" s="200"/>
      <c r="E48" s="201"/>
      <c r="F48" s="211" t="str">
        <f>IFERROR(INDEX(Table_Prescript_Meas[Units], MATCH(Table_PrescriptLights_Input5[[#This Row],[Measure number]], Table_Prescript_Meas[Measure Number], 0)), "")</f>
        <v/>
      </c>
      <c r="G48" s="203"/>
      <c r="H48" s="204"/>
      <c r="I48" s="212"/>
      <c r="J48" s="213"/>
      <c r="K48" s="213"/>
      <c r="L48" s="205"/>
      <c r="M48"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8" s="206" t="str">
        <f>IF(Table_PrescriptLights_Input5[[#This Row],[Unit capacity (tons)]]="","",IFERROR(Table_PrescriptLights_Input5[[#This Row],[Per-unit incentive]]*Table_PrescriptLights_Input5[[#This Row],[Unit capacity (tons)]]*Table_PrescriptLights_Input5[[#This Row],[Number of units]],""))</f>
        <v/>
      </c>
      <c r="O48" s="207" t="str">
        <f>IF(Table_PrescriptLights_Input5[[#This Row],[Unit capacity (tons)]]="","",Table_PrescriptLights_Input5[[#This Row],[Unit capacity (tons)]]*Table_PrescriptLights_Input5[[#This Row],[Number of units]]*Table_PrescriptLights_Input5[[#This Row],[Part load (IPLV) kW/ton]]*VLOOKUP($E$4,References!$N$103:$Q$115,2,FALSE)*0.05)</f>
        <v/>
      </c>
      <c r="P48" s="208" t="str">
        <f>IF(Table_PrescriptLights_Input5[[#This Row],[Unit capacity (tons)]]="","",Table_PrescriptLights_Input5[[#This Row],[Unit capacity (tons)]]*Table_PrescriptLights_Input5[[#This Row],[Number of units]]*Table_PrescriptLights_Input5[[#This Row],[Full load kW/ton]]*VLOOKUP($E$4,References!$N$103:$Q$115,4,FALSE)*0.05)</f>
        <v/>
      </c>
      <c r="Q48" s="206" t="str">
        <f>IFERROR(Table_PrescriptLights_Input5[[#This Row],[Energy savings (kWh)]]*Input_AvgkWhRate, "")</f>
        <v/>
      </c>
      <c r="R48" s="206" t="str">
        <f>IF(Table_PrescriptLights_Input5[[#This Row],[Unit capacity (tons)]]="", "",#REF!+Table_PrescriptLights_Input5[[#This Row],[Total equipment + labor cost]])</f>
        <v/>
      </c>
      <c r="S48" s="206" t="str">
        <f>IFERROR(Table_PrescriptLights_Input5[[#This Row],[Gross measure cost]]-Table_PrescriptLights_Input5[[#This Row],[Estimated incentive]], "")</f>
        <v/>
      </c>
      <c r="T48" s="207" t="str">
        <f t="shared" si="0"/>
        <v/>
      </c>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row>
    <row r="49" spans="1:48" ht="15" x14ac:dyDescent="0.2">
      <c r="A49" s="163"/>
      <c r="B49" s="171">
        <v>44</v>
      </c>
      <c r="C49" s="172" t="str">
        <f>IFERROR(INDEX(Table_Prescript_Meas[Measure Number], MATCH(E49, Table_Prescript_Meas[Measure Description], 0)), "")</f>
        <v/>
      </c>
      <c r="D49" s="200"/>
      <c r="E49" s="201"/>
      <c r="F49" s="211" t="str">
        <f>IFERROR(INDEX(Table_Prescript_Meas[Units], MATCH(Table_PrescriptLights_Input5[[#This Row],[Measure number]], Table_Prescript_Meas[Measure Number], 0)), "")</f>
        <v/>
      </c>
      <c r="G49" s="203"/>
      <c r="H49" s="204"/>
      <c r="I49" s="212"/>
      <c r="J49" s="213"/>
      <c r="K49" s="213"/>
      <c r="L49" s="205"/>
      <c r="M49"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49" s="206" t="str">
        <f>IF(Table_PrescriptLights_Input5[[#This Row],[Unit capacity (tons)]]="","",IFERROR(Table_PrescriptLights_Input5[[#This Row],[Per-unit incentive]]*Table_PrescriptLights_Input5[[#This Row],[Unit capacity (tons)]]*Table_PrescriptLights_Input5[[#This Row],[Number of units]],""))</f>
        <v/>
      </c>
      <c r="O49" s="207" t="str">
        <f>IF(Table_PrescriptLights_Input5[[#This Row],[Unit capacity (tons)]]="","",Table_PrescriptLights_Input5[[#This Row],[Unit capacity (tons)]]*Table_PrescriptLights_Input5[[#This Row],[Number of units]]*Table_PrescriptLights_Input5[[#This Row],[Part load (IPLV) kW/ton]]*VLOOKUP($E$4,References!$N$103:$Q$115,2,FALSE)*0.05)</f>
        <v/>
      </c>
      <c r="P49" s="208" t="str">
        <f>IF(Table_PrescriptLights_Input5[[#This Row],[Unit capacity (tons)]]="","",Table_PrescriptLights_Input5[[#This Row],[Unit capacity (tons)]]*Table_PrescriptLights_Input5[[#This Row],[Number of units]]*Table_PrescriptLights_Input5[[#This Row],[Full load kW/ton]]*VLOOKUP($E$4,References!$N$103:$Q$115,4,FALSE)*0.05)</f>
        <v/>
      </c>
      <c r="Q49" s="206" t="str">
        <f>IFERROR(Table_PrescriptLights_Input5[[#This Row],[Energy savings (kWh)]]*Input_AvgkWhRate, "")</f>
        <v/>
      </c>
      <c r="R49" s="206" t="str">
        <f>IF(Table_PrescriptLights_Input5[[#This Row],[Unit capacity (tons)]]="", "",#REF!+Table_PrescriptLights_Input5[[#This Row],[Total equipment + labor cost]])</f>
        <v/>
      </c>
      <c r="S49" s="206" t="str">
        <f>IFERROR(Table_PrescriptLights_Input5[[#This Row],[Gross measure cost]]-Table_PrescriptLights_Input5[[#This Row],[Estimated incentive]], "")</f>
        <v/>
      </c>
      <c r="T49" s="207" t="str">
        <f t="shared" si="0"/>
        <v/>
      </c>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row>
    <row r="50" spans="1:48" ht="15" x14ac:dyDescent="0.2">
      <c r="A50" s="163"/>
      <c r="B50" s="171">
        <v>45</v>
      </c>
      <c r="C50" s="172" t="str">
        <f>IFERROR(INDEX(Table_Prescript_Meas[Measure Number], MATCH(E50, Table_Prescript_Meas[Measure Description], 0)), "")</f>
        <v/>
      </c>
      <c r="D50" s="200"/>
      <c r="E50" s="201"/>
      <c r="F50" s="211" t="str">
        <f>IFERROR(INDEX(Table_Prescript_Meas[Units], MATCH(Table_PrescriptLights_Input5[[#This Row],[Measure number]], Table_Prescript_Meas[Measure Number], 0)), "")</f>
        <v/>
      </c>
      <c r="G50" s="203"/>
      <c r="H50" s="204"/>
      <c r="I50" s="212"/>
      <c r="J50" s="213"/>
      <c r="K50" s="213"/>
      <c r="L50" s="205"/>
      <c r="M50"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0" s="206" t="str">
        <f>IF(Table_PrescriptLights_Input5[[#This Row],[Unit capacity (tons)]]="","",IFERROR(Table_PrescriptLights_Input5[[#This Row],[Per-unit incentive]]*Table_PrescriptLights_Input5[[#This Row],[Unit capacity (tons)]]*Table_PrescriptLights_Input5[[#This Row],[Number of units]],""))</f>
        <v/>
      </c>
      <c r="O50" s="207" t="str">
        <f>IF(Table_PrescriptLights_Input5[[#This Row],[Unit capacity (tons)]]="","",Table_PrescriptLights_Input5[[#This Row],[Unit capacity (tons)]]*Table_PrescriptLights_Input5[[#This Row],[Number of units]]*Table_PrescriptLights_Input5[[#This Row],[Part load (IPLV) kW/ton]]*VLOOKUP($E$4,References!$N$103:$Q$115,2,FALSE)*0.05)</f>
        <v/>
      </c>
      <c r="P50" s="208" t="str">
        <f>IF(Table_PrescriptLights_Input5[[#This Row],[Unit capacity (tons)]]="","",Table_PrescriptLights_Input5[[#This Row],[Unit capacity (tons)]]*Table_PrescriptLights_Input5[[#This Row],[Number of units]]*Table_PrescriptLights_Input5[[#This Row],[Full load kW/ton]]*VLOOKUP($E$4,References!$N$103:$Q$115,4,FALSE)*0.05)</f>
        <v/>
      </c>
      <c r="Q50" s="206" t="str">
        <f>IFERROR(Table_PrescriptLights_Input5[[#This Row],[Energy savings (kWh)]]*Input_AvgkWhRate, "")</f>
        <v/>
      </c>
      <c r="R50" s="206" t="str">
        <f>IF(Table_PrescriptLights_Input5[[#This Row],[Unit capacity (tons)]]="", "",#REF!+Table_PrescriptLights_Input5[[#This Row],[Total equipment + labor cost]])</f>
        <v/>
      </c>
      <c r="S50" s="206" t="str">
        <f>IFERROR(Table_PrescriptLights_Input5[[#This Row],[Gross measure cost]]-Table_PrescriptLights_Input5[[#This Row],[Estimated incentive]], "")</f>
        <v/>
      </c>
      <c r="T50" s="207" t="str">
        <f t="shared" si="0"/>
        <v/>
      </c>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row>
    <row r="51" spans="1:48" ht="15" x14ac:dyDescent="0.2">
      <c r="A51" s="163"/>
      <c r="B51" s="171">
        <v>46</v>
      </c>
      <c r="C51" s="172" t="str">
        <f>IFERROR(INDEX(Table_Prescript_Meas[Measure Number], MATCH(E51, Table_Prescript_Meas[Measure Description], 0)), "")</f>
        <v/>
      </c>
      <c r="D51" s="200"/>
      <c r="E51" s="201"/>
      <c r="F51" s="211" t="str">
        <f>IFERROR(INDEX(Table_Prescript_Meas[Units], MATCH(Table_PrescriptLights_Input5[[#This Row],[Measure number]], Table_Prescript_Meas[Measure Number], 0)), "")</f>
        <v/>
      </c>
      <c r="G51" s="203"/>
      <c r="H51" s="204"/>
      <c r="I51" s="212"/>
      <c r="J51" s="213"/>
      <c r="K51" s="213"/>
      <c r="L51" s="205"/>
      <c r="M51"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1" s="206" t="str">
        <f>IF(Table_PrescriptLights_Input5[[#This Row],[Unit capacity (tons)]]="","",IFERROR(Table_PrescriptLights_Input5[[#This Row],[Per-unit incentive]]*Table_PrescriptLights_Input5[[#This Row],[Unit capacity (tons)]]*Table_PrescriptLights_Input5[[#This Row],[Number of units]],""))</f>
        <v/>
      </c>
      <c r="O51" s="207" t="str">
        <f>IF(Table_PrescriptLights_Input5[[#This Row],[Unit capacity (tons)]]="","",Table_PrescriptLights_Input5[[#This Row],[Unit capacity (tons)]]*Table_PrescriptLights_Input5[[#This Row],[Number of units]]*Table_PrescriptLights_Input5[[#This Row],[Part load (IPLV) kW/ton]]*VLOOKUP($E$4,References!$N$103:$Q$115,2,FALSE)*0.05)</f>
        <v/>
      </c>
      <c r="P51" s="208" t="str">
        <f>IF(Table_PrescriptLights_Input5[[#This Row],[Unit capacity (tons)]]="","",Table_PrescriptLights_Input5[[#This Row],[Unit capacity (tons)]]*Table_PrescriptLights_Input5[[#This Row],[Number of units]]*Table_PrescriptLights_Input5[[#This Row],[Full load kW/ton]]*VLOOKUP($E$4,References!$N$103:$Q$115,4,FALSE)*0.05)</f>
        <v/>
      </c>
      <c r="Q51" s="206" t="str">
        <f>IFERROR(Table_PrescriptLights_Input5[[#This Row],[Energy savings (kWh)]]*Input_AvgkWhRate, "")</f>
        <v/>
      </c>
      <c r="R51" s="206" t="str">
        <f>IF(Table_PrescriptLights_Input5[[#This Row],[Unit capacity (tons)]]="", "",#REF!+Table_PrescriptLights_Input5[[#This Row],[Total equipment + labor cost]])</f>
        <v/>
      </c>
      <c r="S51" s="206" t="str">
        <f>IFERROR(Table_PrescriptLights_Input5[[#This Row],[Gross measure cost]]-Table_PrescriptLights_Input5[[#This Row],[Estimated incentive]], "")</f>
        <v/>
      </c>
      <c r="T51" s="207" t="str">
        <f t="shared" si="0"/>
        <v/>
      </c>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row>
    <row r="52" spans="1:48" ht="15" x14ac:dyDescent="0.2">
      <c r="A52" s="163"/>
      <c r="B52" s="171">
        <v>47</v>
      </c>
      <c r="C52" s="172" t="str">
        <f>IFERROR(INDEX(Table_Prescript_Meas[Measure Number], MATCH(E52, Table_Prescript_Meas[Measure Description], 0)), "")</f>
        <v/>
      </c>
      <c r="D52" s="200"/>
      <c r="E52" s="201"/>
      <c r="F52" s="211" t="str">
        <f>IFERROR(INDEX(Table_Prescript_Meas[Units], MATCH(Table_PrescriptLights_Input5[[#This Row],[Measure number]], Table_Prescript_Meas[Measure Number], 0)), "")</f>
        <v/>
      </c>
      <c r="G52" s="203"/>
      <c r="H52" s="204"/>
      <c r="I52" s="212"/>
      <c r="J52" s="213"/>
      <c r="K52" s="213"/>
      <c r="L52" s="205"/>
      <c r="M52"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2" s="206" t="str">
        <f>IF(Table_PrescriptLights_Input5[[#This Row],[Unit capacity (tons)]]="","",IFERROR(Table_PrescriptLights_Input5[[#This Row],[Per-unit incentive]]*Table_PrescriptLights_Input5[[#This Row],[Unit capacity (tons)]]*Table_PrescriptLights_Input5[[#This Row],[Number of units]],""))</f>
        <v/>
      </c>
      <c r="O52" s="207" t="str">
        <f>IF(Table_PrescriptLights_Input5[[#This Row],[Unit capacity (tons)]]="","",Table_PrescriptLights_Input5[[#This Row],[Unit capacity (tons)]]*Table_PrescriptLights_Input5[[#This Row],[Number of units]]*Table_PrescriptLights_Input5[[#This Row],[Part load (IPLV) kW/ton]]*VLOOKUP($E$4,References!$N$103:$Q$115,2,FALSE)*0.05)</f>
        <v/>
      </c>
      <c r="P52" s="208" t="str">
        <f>IF(Table_PrescriptLights_Input5[[#This Row],[Unit capacity (tons)]]="","",Table_PrescriptLights_Input5[[#This Row],[Unit capacity (tons)]]*Table_PrescriptLights_Input5[[#This Row],[Number of units]]*Table_PrescriptLights_Input5[[#This Row],[Full load kW/ton]]*VLOOKUP($E$4,References!$N$103:$Q$115,4,FALSE)*0.05)</f>
        <v/>
      </c>
      <c r="Q52" s="206" t="str">
        <f>IFERROR(Table_PrescriptLights_Input5[[#This Row],[Energy savings (kWh)]]*Input_AvgkWhRate, "")</f>
        <v/>
      </c>
      <c r="R52" s="206" t="str">
        <f>IF(Table_PrescriptLights_Input5[[#This Row],[Unit capacity (tons)]]="", "",#REF!+Table_PrescriptLights_Input5[[#This Row],[Total equipment + labor cost]])</f>
        <v/>
      </c>
      <c r="S52" s="206" t="str">
        <f>IFERROR(Table_PrescriptLights_Input5[[#This Row],[Gross measure cost]]-Table_PrescriptLights_Input5[[#This Row],[Estimated incentive]], "")</f>
        <v/>
      </c>
      <c r="T52" s="207" t="str">
        <f t="shared" si="0"/>
        <v/>
      </c>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row>
    <row r="53" spans="1:48" ht="15" x14ac:dyDescent="0.2">
      <c r="A53" s="163"/>
      <c r="B53" s="171">
        <v>48</v>
      </c>
      <c r="C53" s="172" t="str">
        <f>IFERROR(INDEX(Table_Prescript_Meas[Measure Number], MATCH(E53, Table_Prescript_Meas[Measure Description], 0)), "")</f>
        <v/>
      </c>
      <c r="D53" s="200"/>
      <c r="E53" s="201"/>
      <c r="F53" s="211" t="str">
        <f>IFERROR(INDEX(Table_Prescript_Meas[Units], MATCH(Table_PrescriptLights_Input5[[#This Row],[Measure number]], Table_Prescript_Meas[Measure Number], 0)), "")</f>
        <v/>
      </c>
      <c r="G53" s="203"/>
      <c r="H53" s="204"/>
      <c r="I53" s="212"/>
      <c r="J53" s="213"/>
      <c r="K53" s="213"/>
      <c r="L53" s="205"/>
      <c r="M53"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3" s="206" t="str">
        <f>IF(Table_PrescriptLights_Input5[[#This Row],[Unit capacity (tons)]]="","",IFERROR(Table_PrescriptLights_Input5[[#This Row],[Per-unit incentive]]*Table_PrescriptLights_Input5[[#This Row],[Unit capacity (tons)]]*Table_PrescriptLights_Input5[[#This Row],[Number of units]],""))</f>
        <v/>
      </c>
      <c r="O53" s="207" t="str">
        <f>IF(Table_PrescriptLights_Input5[[#This Row],[Unit capacity (tons)]]="","",Table_PrescriptLights_Input5[[#This Row],[Unit capacity (tons)]]*Table_PrescriptLights_Input5[[#This Row],[Number of units]]*Table_PrescriptLights_Input5[[#This Row],[Part load (IPLV) kW/ton]]*VLOOKUP($E$4,References!$N$103:$Q$115,2,FALSE)*0.05)</f>
        <v/>
      </c>
      <c r="P53" s="208" t="str">
        <f>IF(Table_PrescriptLights_Input5[[#This Row],[Unit capacity (tons)]]="","",Table_PrescriptLights_Input5[[#This Row],[Unit capacity (tons)]]*Table_PrescriptLights_Input5[[#This Row],[Number of units]]*Table_PrescriptLights_Input5[[#This Row],[Full load kW/ton]]*VLOOKUP($E$4,References!$N$103:$Q$115,4,FALSE)*0.05)</f>
        <v/>
      </c>
      <c r="Q53" s="206" t="str">
        <f>IFERROR(Table_PrescriptLights_Input5[[#This Row],[Energy savings (kWh)]]*Input_AvgkWhRate, "")</f>
        <v/>
      </c>
      <c r="R53" s="206" t="str">
        <f>IF(Table_PrescriptLights_Input5[[#This Row],[Unit capacity (tons)]]="", "",#REF!+Table_PrescriptLights_Input5[[#This Row],[Total equipment + labor cost]])</f>
        <v/>
      </c>
      <c r="S53" s="206" t="str">
        <f>IFERROR(Table_PrescriptLights_Input5[[#This Row],[Gross measure cost]]-Table_PrescriptLights_Input5[[#This Row],[Estimated incentive]], "")</f>
        <v/>
      </c>
      <c r="T53" s="207" t="str">
        <f t="shared" si="0"/>
        <v/>
      </c>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row>
    <row r="54" spans="1:48" ht="15" x14ac:dyDescent="0.2">
      <c r="A54" s="163"/>
      <c r="B54" s="171">
        <v>49</v>
      </c>
      <c r="C54" s="172" t="str">
        <f>IFERROR(INDEX(Table_Prescript_Meas[Measure Number], MATCH(E54, Table_Prescript_Meas[Measure Description], 0)), "")</f>
        <v/>
      </c>
      <c r="D54" s="200"/>
      <c r="E54" s="201"/>
      <c r="F54" s="211" t="str">
        <f>IFERROR(INDEX(Table_Prescript_Meas[Units], MATCH(Table_PrescriptLights_Input5[[#This Row],[Measure number]], Table_Prescript_Meas[Measure Number], 0)), "")</f>
        <v/>
      </c>
      <c r="G54" s="203"/>
      <c r="H54" s="204"/>
      <c r="I54" s="212"/>
      <c r="J54" s="213"/>
      <c r="K54" s="213"/>
      <c r="L54" s="205"/>
      <c r="M54"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4" s="206" t="str">
        <f>IF(Table_PrescriptLights_Input5[[#This Row],[Unit capacity (tons)]]="","",IFERROR(Table_PrescriptLights_Input5[[#This Row],[Per-unit incentive]]*Table_PrescriptLights_Input5[[#This Row],[Unit capacity (tons)]]*Table_PrescriptLights_Input5[[#This Row],[Number of units]],""))</f>
        <v/>
      </c>
      <c r="O54" s="207" t="str">
        <f>IF(Table_PrescriptLights_Input5[[#This Row],[Unit capacity (tons)]]="","",Table_PrescriptLights_Input5[[#This Row],[Unit capacity (tons)]]*Table_PrescriptLights_Input5[[#This Row],[Number of units]]*Table_PrescriptLights_Input5[[#This Row],[Part load (IPLV) kW/ton]]*VLOOKUP($E$4,References!$N$103:$Q$115,2,FALSE)*0.05)</f>
        <v/>
      </c>
      <c r="P54" s="208" t="str">
        <f>IF(Table_PrescriptLights_Input5[[#This Row],[Unit capacity (tons)]]="","",Table_PrescriptLights_Input5[[#This Row],[Unit capacity (tons)]]*Table_PrescriptLights_Input5[[#This Row],[Number of units]]*Table_PrescriptLights_Input5[[#This Row],[Full load kW/ton]]*VLOOKUP($E$4,References!$N$103:$Q$115,4,FALSE)*0.05)</f>
        <v/>
      </c>
      <c r="Q54" s="206" t="str">
        <f>IFERROR(Table_PrescriptLights_Input5[[#This Row],[Energy savings (kWh)]]*Input_AvgkWhRate, "")</f>
        <v/>
      </c>
      <c r="R54" s="206" t="str">
        <f>IF(Table_PrescriptLights_Input5[[#This Row],[Unit capacity (tons)]]="", "",#REF!+Table_PrescriptLights_Input5[[#This Row],[Total equipment + labor cost]])</f>
        <v/>
      </c>
      <c r="S54" s="206" t="str">
        <f>IFERROR(Table_PrescriptLights_Input5[[#This Row],[Gross measure cost]]-Table_PrescriptLights_Input5[[#This Row],[Estimated incentive]], "")</f>
        <v/>
      </c>
      <c r="T54" s="207" t="str">
        <f t="shared" si="0"/>
        <v/>
      </c>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row>
    <row r="55" spans="1:48" ht="15" x14ac:dyDescent="0.2">
      <c r="A55" s="163"/>
      <c r="B55" s="171">
        <v>50</v>
      </c>
      <c r="C55" s="172" t="str">
        <f>IFERROR(INDEX(Table_Prescript_Meas[Measure Number], MATCH(E55, Table_Prescript_Meas[Measure Description], 0)), "")</f>
        <v/>
      </c>
      <c r="D55" s="200"/>
      <c r="E55" s="201"/>
      <c r="F55" s="211" t="str">
        <f>IFERROR(INDEX(Table_Prescript_Meas[Units], MATCH(Table_PrescriptLights_Input5[[#This Row],[Measure number]], Table_Prescript_Meas[Measure Number], 0)), "")</f>
        <v/>
      </c>
      <c r="G55" s="203"/>
      <c r="H55" s="204"/>
      <c r="I55" s="212"/>
      <c r="J55" s="213"/>
      <c r="K55" s="213"/>
      <c r="L55" s="205"/>
      <c r="M55" s="214" t="str">
        <f>IFERROR(IF(Input_ProgramType=References!$Z$4, INDEX(Table_Prescript_Meas[Incentive - LC (RCA)], MATCH(Table_PrescriptLights_Input5[[#This Row],[Measure number]], Table_Prescript_Meas[Measure Number], 0)), INDEX(Table_Prescript_Meas[Incentive - SC (RCA)], MATCH(Table_PrescriptLights_Input5[[#This Row],[Measure number]], Table_Prescript_Meas[Measure Number], 0))), "")</f>
        <v/>
      </c>
      <c r="N55" s="206" t="str">
        <f>IF(Table_PrescriptLights_Input5[[#This Row],[Unit capacity (tons)]]="","",IFERROR(Table_PrescriptLights_Input5[[#This Row],[Per-unit incentive]]*Table_PrescriptLights_Input5[[#This Row],[Unit capacity (tons)]]*Table_PrescriptLights_Input5[[#This Row],[Number of units]],""))</f>
        <v/>
      </c>
      <c r="O55" s="207" t="str">
        <f>IF(Table_PrescriptLights_Input5[[#This Row],[Unit capacity (tons)]]="","",Table_PrescriptLights_Input5[[#This Row],[Unit capacity (tons)]]*Table_PrescriptLights_Input5[[#This Row],[Number of units]]*Table_PrescriptLights_Input5[[#This Row],[Part load (IPLV) kW/ton]]*VLOOKUP($E$4,References!$N$103:$Q$115,2,FALSE)*0.05)</f>
        <v/>
      </c>
      <c r="P55" s="208" t="str">
        <f>IF(Table_PrescriptLights_Input5[[#This Row],[Unit capacity (tons)]]="","",Table_PrescriptLights_Input5[[#This Row],[Unit capacity (tons)]]*Table_PrescriptLights_Input5[[#This Row],[Number of units]]*Table_PrescriptLights_Input5[[#This Row],[Full load kW/ton]]*VLOOKUP($E$4,References!$N$103:$Q$115,4,FALSE)*0.05)</f>
        <v/>
      </c>
      <c r="Q55" s="206" t="str">
        <f>IFERROR(Table_PrescriptLights_Input5[[#This Row],[Energy savings (kWh)]]*Input_AvgkWhRate, "")</f>
        <v/>
      </c>
      <c r="R55" s="206" t="str">
        <f>IF(Table_PrescriptLights_Input5[[#This Row],[Unit capacity (tons)]]="", "",#REF!+Table_PrescriptLights_Input5[[#This Row],[Total equipment + labor cost]])</f>
        <v/>
      </c>
      <c r="S55" s="206" t="str">
        <f>IFERROR(Table_PrescriptLights_Input5[[#This Row],[Gross measure cost]]-Table_PrescriptLights_Input5[[#This Row],[Estimated incentive]], "")</f>
        <v/>
      </c>
      <c r="T55" s="207" t="str">
        <f t="shared" si="0"/>
        <v/>
      </c>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row>
    <row r="56" spans="1:48" x14ac:dyDescent="0.2">
      <c r="A56" s="163"/>
      <c r="U56" s="163"/>
      <c r="V56" s="163"/>
      <c r="W56" s="163"/>
      <c r="X56" s="163"/>
      <c r="Y56" s="163"/>
      <c r="Z56" s="163"/>
      <c r="AA56" s="163"/>
      <c r="AB56" s="163"/>
      <c r="AC56" s="163"/>
      <c r="AD56" s="163"/>
      <c r="AE56" s="163"/>
      <c r="AF56" s="163"/>
      <c r="AG56" s="163"/>
      <c r="AH56" s="163"/>
      <c r="AI56" s="163"/>
      <c r="AJ56" s="163"/>
      <c r="AK56" s="163"/>
      <c r="AL56" s="163"/>
      <c r="AM56" s="163"/>
      <c r="AN56" s="163"/>
      <c r="AO56" s="163"/>
      <c r="AP56" s="163"/>
      <c r="AQ56" s="163"/>
      <c r="AR56" s="163"/>
      <c r="AS56" s="163"/>
      <c r="AT56" s="163"/>
      <c r="AU56" s="163"/>
      <c r="AV56" s="163"/>
    </row>
    <row r="57" spans="1:48" x14ac:dyDescent="0.2">
      <c r="F57" s="160"/>
    </row>
    <row r="58" spans="1:48" x14ac:dyDescent="0.2">
      <c r="B58" s="160" t="s">
        <v>401</v>
      </c>
      <c r="F58" s="160"/>
    </row>
    <row r="59" spans="1:48" x14ac:dyDescent="0.2">
      <c r="B59" s="160" t="str">
        <f>Value_Application_Version</f>
        <v>Version 4.0</v>
      </c>
      <c r="F59" s="160"/>
    </row>
    <row r="60" spans="1:48" x14ac:dyDescent="0.2">
      <c r="F60" s="160"/>
    </row>
    <row r="61" spans="1:48" x14ac:dyDescent="0.2">
      <c r="A61" s="163"/>
      <c r="U61" s="163"/>
      <c r="V61" s="163"/>
      <c r="W61" s="163"/>
      <c r="X61" s="163"/>
      <c r="Y61" s="163"/>
      <c r="Z61" s="163"/>
      <c r="AA61" s="163"/>
      <c r="AB61" s="163"/>
      <c r="AC61" s="163"/>
      <c r="AD61" s="163"/>
      <c r="AE61" s="163"/>
      <c r="AF61" s="163"/>
      <c r="AG61" s="163"/>
      <c r="AH61" s="163"/>
      <c r="AI61" s="163"/>
      <c r="AJ61" s="163"/>
      <c r="AK61" s="163"/>
      <c r="AL61" s="163"/>
      <c r="AM61" s="163"/>
      <c r="AN61" s="163"/>
      <c r="AO61" s="163"/>
      <c r="AP61" s="163"/>
      <c r="AQ61" s="163"/>
      <c r="AR61" s="163"/>
      <c r="AS61" s="163"/>
      <c r="AT61" s="163"/>
      <c r="AU61" s="163"/>
      <c r="AV61" s="163"/>
    </row>
    <row r="62" spans="1:48" x14ac:dyDescent="0.2">
      <c r="A62" s="163"/>
      <c r="U62" s="163"/>
      <c r="V62" s="163"/>
      <c r="W62" s="163"/>
      <c r="X62" s="163"/>
      <c r="Y62" s="163"/>
      <c r="Z62" s="163"/>
      <c r="AA62" s="163"/>
      <c r="AB62" s="163"/>
      <c r="AC62" s="163"/>
      <c r="AD62" s="163"/>
      <c r="AE62" s="163"/>
      <c r="AF62" s="163"/>
      <c r="AG62" s="163"/>
      <c r="AH62" s="163"/>
      <c r="AI62" s="163"/>
      <c r="AJ62" s="163"/>
      <c r="AK62" s="163"/>
      <c r="AL62" s="163"/>
      <c r="AM62" s="163"/>
      <c r="AN62" s="163"/>
      <c r="AO62" s="163"/>
      <c r="AP62" s="163"/>
      <c r="AQ62" s="163"/>
      <c r="AR62" s="163"/>
      <c r="AS62" s="163"/>
      <c r="AT62" s="163"/>
      <c r="AU62" s="163"/>
      <c r="AV62" s="163"/>
    </row>
    <row r="63" spans="1:48" x14ac:dyDescent="0.2">
      <c r="A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3"/>
      <c r="AS63" s="163"/>
      <c r="AT63" s="163"/>
      <c r="AU63" s="163"/>
      <c r="AV63" s="163"/>
    </row>
    <row r="64" spans="1:48" x14ac:dyDescent="0.2">
      <c r="A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row>
    <row r="65" spans="1:48" x14ac:dyDescent="0.2">
      <c r="A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row>
    <row r="66" spans="1:48" x14ac:dyDescent="0.2">
      <c r="A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row>
    <row r="67" spans="1:48" x14ac:dyDescent="0.2">
      <c r="A67" s="163"/>
      <c r="U67" s="163"/>
      <c r="V67" s="163"/>
      <c r="W67" s="163"/>
      <c r="X67" s="163"/>
      <c r="Y67" s="163"/>
      <c r="Z67" s="163"/>
      <c r="AA67" s="163"/>
      <c r="AB67" s="163"/>
      <c r="AC67" s="163"/>
      <c r="AD67" s="163"/>
      <c r="AE67" s="163"/>
      <c r="AF67" s="163"/>
      <c r="AG67" s="163"/>
      <c r="AH67" s="163"/>
      <c r="AI67" s="163"/>
      <c r="AJ67" s="163"/>
      <c r="AK67" s="163"/>
      <c r="AL67" s="163"/>
      <c r="AM67" s="163"/>
      <c r="AN67" s="163"/>
      <c r="AO67" s="163"/>
      <c r="AP67" s="163"/>
      <c r="AQ67" s="163"/>
      <c r="AR67" s="163"/>
      <c r="AS67" s="163"/>
      <c r="AT67" s="163"/>
      <c r="AU67" s="163"/>
      <c r="AV67" s="163"/>
    </row>
    <row r="68" spans="1:48" x14ac:dyDescent="0.2">
      <c r="A68" s="163"/>
      <c r="U68" s="163"/>
      <c r="V68" s="163"/>
      <c r="W68" s="163"/>
      <c r="X68" s="163"/>
      <c r="Y68" s="163"/>
      <c r="Z68" s="163"/>
      <c r="AA68" s="163"/>
      <c r="AB68" s="163"/>
      <c r="AC68" s="163"/>
      <c r="AD68" s="163"/>
      <c r="AE68" s="163"/>
      <c r="AF68" s="163"/>
      <c r="AG68" s="163"/>
      <c r="AH68" s="163"/>
      <c r="AI68" s="163"/>
      <c r="AJ68" s="163"/>
      <c r="AK68" s="163"/>
      <c r="AL68" s="163"/>
      <c r="AM68" s="163"/>
      <c r="AN68" s="163"/>
      <c r="AO68" s="163"/>
      <c r="AP68" s="163"/>
      <c r="AQ68" s="163"/>
      <c r="AR68" s="163"/>
      <c r="AS68" s="163"/>
      <c r="AT68" s="163"/>
      <c r="AU68" s="163"/>
      <c r="AV68" s="163"/>
    </row>
    <row r="69" spans="1:48" x14ac:dyDescent="0.2">
      <c r="A69" s="163"/>
      <c r="U69" s="163"/>
      <c r="V69" s="163"/>
      <c r="W69" s="163"/>
      <c r="X69" s="163"/>
      <c r="Y69" s="163"/>
      <c r="Z69" s="163"/>
      <c r="AA69" s="163"/>
      <c r="AB69" s="163"/>
      <c r="AC69" s="163"/>
      <c r="AD69" s="163"/>
      <c r="AE69" s="163"/>
      <c r="AF69" s="163"/>
      <c r="AG69" s="163"/>
      <c r="AH69" s="163"/>
      <c r="AI69" s="163"/>
      <c r="AJ69" s="163"/>
      <c r="AK69" s="163"/>
      <c r="AL69" s="163"/>
      <c r="AM69" s="163"/>
      <c r="AN69" s="163"/>
      <c r="AO69" s="163"/>
      <c r="AP69" s="163"/>
      <c r="AQ69" s="163"/>
      <c r="AR69" s="163"/>
      <c r="AS69" s="163"/>
      <c r="AT69" s="163"/>
      <c r="AU69" s="163"/>
      <c r="AV69" s="163"/>
    </row>
    <row r="70" spans="1:48" x14ac:dyDescent="0.2">
      <c r="A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163"/>
      <c r="AS70" s="163"/>
      <c r="AT70" s="163"/>
      <c r="AU70" s="163"/>
      <c r="AV70" s="163"/>
    </row>
    <row r="71" spans="1:48" x14ac:dyDescent="0.2">
      <c r="A71" s="163"/>
      <c r="U71" s="163"/>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row>
    <row r="72" spans="1:48" x14ac:dyDescent="0.2">
      <c r="A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row>
    <row r="73" spans="1:48" x14ac:dyDescent="0.2">
      <c r="A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row>
    <row r="74" spans="1:48" x14ac:dyDescent="0.2">
      <c r="A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row>
    <row r="75" spans="1:48" x14ac:dyDescent="0.2">
      <c r="A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row>
    <row r="76" spans="1:48" x14ac:dyDescent="0.2">
      <c r="A76" s="163"/>
      <c r="U76" s="163"/>
      <c r="V76" s="163"/>
      <c r="W76" s="163"/>
      <c r="X76" s="163"/>
      <c r="Y76" s="163"/>
      <c r="Z76" s="163"/>
      <c r="AA76" s="163"/>
      <c r="AB76" s="163"/>
      <c r="AC76" s="163"/>
      <c r="AD76" s="163"/>
      <c r="AE76" s="163"/>
      <c r="AF76" s="163"/>
      <c r="AG76" s="163"/>
      <c r="AH76" s="163"/>
      <c r="AI76" s="163"/>
      <c r="AJ76" s="163"/>
      <c r="AK76" s="163"/>
      <c r="AL76" s="163"/>
      <c r="AM76" s="163"/>
      <c r="AN76" s="163"/>
      <c r="AO76" s="163"/>
      <c r="AP76" s="163"/>
      <c r="AQ76" s="163"/>
      <c r="AR76" s="163"/>
      <c r="AS76" s="163"/>
      <c r="AT76" s="163"/>
      <c r="AU76" s="163"/>
      <c r="AV76" s="163"/>
    </row>
    <row r="77" spans="1:48" x14ac:dyDescent="0.2">
      <c r="A77" s="163"/>
      <c r="U77" s="163"/>
      <c r="V77" s="163"/>
      <c r="W77" s="163"/>
      <c r="X77" s="163"/>
      <c r="Y77" s="163"/>
      <c r="Z77" s="163"/>
      <c r="AA77" s="163"/>
      <c r="AB77" s="163"/>
      <c r="AC77" s="163"/>
      <c r="AD77" s="163"/>
      <c r="AE77" s="163"/>
      <c r="AF77" s="163"/>
      <c r="AG77" s="163"/>
      <c r="AH77" s="163"/>
      <c r="AI77" s="163"/>
      <c r="AJ77" s="163"/>
      <c r="AK77" s="163"/>
      <c r="AL77" s="163"/>
      <c r="AM77" s="163"/>
      <c r="AN77" s="163"/>
      <c r="AO77" s="163"/>
      <c r="AP77" s="163"/>
      <c r="AQ77" s="163"/>
      <c r="AR77" s="163"/>
      <c r="AS77" s="163"/>
      <c r="AT77" s="163"/>
      <c r="AU77" s="163"/>
      <c r="AV77" s="163"/>
    </row>
    <row r="78" spans="1:48" x14ac:dyDescent="0.2">
      <c r="A78" s="163"/>
      <c r="U78" s="163"/>
      <c r="V78" s="163"/>
      <c r="W78" s="163"/>
      <c r="X78" s="163"/>
      <c r="Y78" s="163"/>
      <c r="Z78" s="163"/>
      <c r="AA78" s="163"/>
      <c r="AB78" s="163"/>
      <c r="AC78" s="163"/>
      <c r="AD78" s="163"/>
      <c r="AE78" s="163"/>
      <c r="AF78" s="163"/>
      <c r="AG78" s="163"/>
      <c r="AH78" s="163"/>
      <c r="AI78" s="163"/>
      <c r="AJ78" s="163"/>
      <c r="AK78" s="163"/>
      <c r="AL78" s="163"/>
      <c r="AM78" s="163"/>
      <c r="AN78" s="163"/>
      <c r="AO78" s="163"/>
      <c r="AP78" s="163"/>
      <c r="AQ78" s="163"/>
      <c r="AR78" s="163"/>
      <c r="AS78" s="163"/>
      <c r="AT78" s="163"/>
      <c r="AU78" s="163"/>
      <c r="AV78" s="163"/>
    </row>
    <row r="79" spans="1:48" x14ac:dyDescent="0.2">
      <c r="A79" s="163"/>
      <c r="U79" s="163"/>
      <c r="V79" s="163"/>
      <c r="W79" s="163"/>
      <c r="X79" s="163"/>
      <c r="Y79" s="163"/>
      <c r="Z79" s="163"/>
      <c r="AA79" s="163"/>
      <c r="AB79" s="163"/>
      <c r="AC79" s="163"/>
      <c r="AD79" s="163"/>
      <c r="AE79" s="163"/>
      <c r="AF79" s="163"/>
      <c r="AG79" s="163"/>
      <c r="AH79" s="163"/>
      <c r="AI79" s="163"/>
      <c r="AJ79" s="163"/>
      <c r="AK79" s="163"/>
      <c r="AL79" s="163"/>
      <c r="AM79" s="163"/>
      <c r="AN79" s="163"/>
      <c r="AO79" s="163"/>
      <c r="AP79" s="163"/>
      <c r="AQ79" s="163"/>
      <c r="AR79" s="163"/>
      <c r="AS79" s="163"/>
      <c r="AT79" s="163"/>
      <c r="AU79" s="163"/>
      <c r="AV79" s="163"/>
    </row>
    <row r="80" spans="1:48" x14ac:dyDescent="0.2">
      <c r="A80" s="163"/>
      <c r="U80" s="163"/>
      <c r="V80" s="163"/>
      <c r="W80" s="163"/>
      <c r="X80" s="163"/>
      <c r="Y80" s="163"/>
      <c r="Z80" s="163"/>
      <c r="AA80" s="163"/>
      <c r="AB80" s="163"/>
      <c r="AC80" s="163"/>
      <c r="AD80" s="163"/>
      <c r="AE80" s="163"/>
      <c r="AF80" s="163"/>
      <c r="AG80" s="163"/>
      <c r="AH80" s="163"/>
      <c r="AI80" s="163"/>
      <c r="AJ80" s="163"/>
      <c r="AK80" s="163"/>
      <c r="AL80" s="163"/>
      <c r="AM80" s="163"/>
      <c r="AN80" s="163"/>
      <c r="AO80" s="163"/>
      <c r="AP80" s="163"/>
      <c r="AQ80" s="163"/>
      <c r="AR80" s="163"/>
      <c r="AS80" s="163"/>
      <c r="AT80" s="163"/>
      <c r="AU80" s="163"/>
      <c r="AV80" s="163"/>
    </row>
    <row r="81" spans="1:48" x14ac:dyDescent="0.2">
      <c r="A81" s="163"/>
      <c r="U81" s="163"/>
      <c r="V81" s="163"/>
      <c r="W81" s="163"/>
      <c r="X81" s="163"/>
      <c r="Y81" s="163"/>
      <c r="Z81" s="163"/>
      <c r="AA81" s="163"/>
      <c r="AB81" s="163"/>
      <c r="AC81" s="163"/>
      <c r="AD81" s="163"/>
      <c r="AE81" s="163"/>
      <c r="AF81" s="163"/>
      <c r="AG81" s="163"/>
      <c r="AH81" s="163"/>
      <c r="AI81" s="163"/>
      <c r="AJ81" s="163"/>
      <c r="AK81" s="163"/>
      <c r="AL81" s="163"/>
      <c r="AM81" s="163"/>
      <c r="AN81" s="163"/>
      <c r="AO81" s="163"/>
      <c r="AP81" s="163"/>
      <c r="AQ81" s="163"/>
      <c r="AR81" s="163"/>
      <c r="AS81" s="163"/>
      <c r="AT81" s="163"/>
      <c r="AU81" s="163"/>
      <c r="AV81" s="163"/>
    </row>
    <row r="82" spans="1:48" x14ac:dyDescent="0.2">
      <c r="A82" s="163"/>
      <c r="U82" s="163"/>
      <c r="V82" s="163"/>
      <c r="W82" s="163"/>
      <c r="X82" s="163"/>
      <c r="Y82" s="163"/>
      <c r="Z82" s="163"/>
      <c r="AA82" s="163"/>
      <c r="AB82" s="163"/>
      <c r="AC82" s="163"/>
      <c r="AD82" s="163"/>
      <c r="AE82" s="163"/>
      <c r="AF82" s="163"/>
      <c r="AG82" s="163"/>
      <c r="AH82" s="163"/>
      <c r="AI82" s="163"/>
      <c r="AJ82" s="163"/>
      <c r="AK82" s="163"/>
      <c r="AL82" s="163"/>
      <c r="AM82" s="163"/>
      <c r="AN82" s="163"/>
      <c r="AO82" s="163"/>
      <c r="AP82" s="163"/>
      <c r="AQ82" s="163"/>
      <c r="AR82" s="163"/>
      <c r="AS82" s="163"/>
      <c r="AT82" s="163"/>
      <c r="AU82" s="163"/>
      <c r="AV82" s="163"/>
    </row>
    <row r="83" spans="1:48" x14ac:dyDescent="0.2">
      <c r="A83" s="163"/>
      <c r="U83" s="163"/>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row>
    <row r="84" spans="1:48" x14ac:dyDescent="0.2">
      <c r="A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row>
    <row r="85" spans="1:48" x14ac:dyDescent="0.2">
      <c r="A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row>
    <row r="86" spans="1:48" x14ac:dyDescent="0.2">
      <c r="A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row>
    <row r="87" spans="1:48" x14ac:dyDescent="0.2">
      <c r="A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row>
    <row r="88" spans="1:48" x14ac:dyDescent="0.2">
      <c r="A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row>
    <row r="89" spans="1:48" x14ac:dyDescent="0.2">
      <c r="A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row>
    <row r="90" spans="1:48" x14ac:dyDescent="0.2">
      <c r="A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row>
    <row r="91" spans="1:48" x14ac:dyDescent="0.2">
      <c r="A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row>
    <row r="92" spans="1:48" x14ac:dyDescent="0.2">
      <c r="A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row>
    <row r="93" spans="1:48" x14ac:dyDescent="0.2">
      <c r="A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row>
    <row r="94" spans="1:48" x14ac:dyDescent="0.2">
      <c r="A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row>
    <row r="95" spans="1:48" x14ac:dyDescent="0.2">
      <c r="A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row>
    <row r="96" spans="1:48" x14ac:dyDescent="0.2">
      <c r="A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row>
    <row r="97" spans="1:48" x14ac:dyDescent="0.2">
      <c r="A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row>
    <row r="98" spans="1:48" x14ac:dyDescent="0.2">
      <c r="A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c r="AV98" s="163"/>
    </row>
    <row r="99" spans="1:48" x14ac:dyDescent="0.2">
      <c r="A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c r="AV99" s="163"/>
    </row>
    <row r="100" spans="1:48" x14ac:dyDescent="0.2">
      <c r="A100" s="163"/>
      <c r="U100" s="163"/>
      <c r="V100" s="163"/>
      <c r="W100" s="163"/>
      <c r="X100" s="163"/>
      <c r="Y100" s="163"/>
      <c r="Z100" s="163"/>
      <c r="AA100" s="163"/>
      <c r="AB100" s="163"/>
      <c r="AC100" s="163"/>
      <c r="AD100" s="163"/>
      <c r="AE100" s="163"/>
      <c r="AF100" s="163"/>
      <c r="AG100" s="163"/>
      <c r="AH100" s="163"/>
      <c r="AI100" s="163"/>
      <c r="AJ100" s="163"/>
      <c r="AK100" s="163"/>
      <c r="AL100" s="163"/>
      <c r="AM100" s="163"/>
      <c r="AN100" s="163"/>
      <c r="AO100" s="163"/>
      <c r="AP100" s="163"/>
      <c r="AQ100" s="163"/>
      <c r="AR100" s="163"/>
      <c r="AS100" s="163"/>
      <c r="AT100" s="163"/>
      <c r="AU100" s="163"/>
      <c r="AV100" s="163"/>
    </row>
    <row r="101" spans="1:48" x14ac:dyDescent="0.2">
      <c r="A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row>
    <row r="102" spans="1:48" x14ac:dyDescent="0.2">
      <c r="A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163"/>
      <c r="AU102" s="163"/>
      <c r="AV102" s="163"/>
    </row>
    <row r="103" spans="1:48" x14ac:dyDescent="0.2">
      <c r="A103" s="163"/>
      <c r="U103" s="163"/>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row>
    <row r="104" spans="1:48" x14ac:dyDescent="0.2">
      <c r="A104" s="163"/>
      <c r="U104" s="163"/>
      <c r="V104" s="163"/>
      <c r="W104" s="163"/>
      <c r="X104" s="163"/>
      <c r="Y104" s="163"/>
      <c r="Z104" s="163"/>
      <c r="AA104" s="163"/>
      <c r="AB104" s="163"/>
      <c r="AC104" s="163"/>
      <c r="AD104" s="163"/>
      <c r="AE104" s="163"/>
      <c r="AF104" s="163"/>
      <c r="AG104" s="163"/>
      <c r="AH104" s="163"/>
      <c r="AI104" s="163"/>
      <c r="AJ104" s="163"/>
      <c r="AK104" s="163"/>
      <c r="AL104" s="163"/>
      <c r="AM104" s="163"/>
      <c r="AN104" s="163"/>
      <c r="AO104" s="163"/>
      <c r="AP104" s="163"/>
      <c r="AQ104" s="163"/>
      <c r="AR104" s="163"/>
      <c r="AS104" s="163"/>
      <c r="AT104" s="163"/>
      <c r="AU104" s="163"/>
      <c r="AV104" s="163"/>
    </row>
    <row r="105" spans="1:48" x14ac:dyDescent="0.2">
      <c r="A105" s="163"/>
      <c r="U105" s="163"/>
      <c r="V105" s="163"/>
      <c r="W105" s="163"/>
      <c r="X105" s="163"/>
      <c r="Y105" s="163"/>
      <c r="Z105" s="163"/>
      <c r="AA105" s="163"/>
      <c r="AB105" s="163"/>
      <c r="AC105" s="163"/>
      <c r="AD105" s="163"/>
      <c r="AE105" s="163"/>
      <c r="AF105" s="163"/>
      <c r="AG105" s="163"/>
      <c r="AH105" s="163"/>
      <c r="AI105" s="163"/>
      <c r="AJ105" s="163"/>
      <c r="AK105" s="163"/>
      <c r="AL105" s="163"/>
      <c r="AM105" s="163"/>
      <c r="AN105" s="163"/>
      <c r="AO105" s="163"/>
      <c r="AP105" s="163"/>
      <c r="AQ105" s="163"/>
      <c r="AR105" s="163"/>
      <c r="AS105" s="163"/>
      <c r="AT105" s="163"/>
      <c r="AU105" s="163"/>
      <c r="AV105" s="163"/>
    </row>
    <row r="106" spans="1:48" x14ac:dyDescent="0.2">
      <c r="A106" s="163"/>
      <c r="U106" s="163"/>
      <c r="V106" s="163"/>
      <c r="W106" s="163"/>
      <c r="X106" s="163"/>
      <c r="Y106" s="163"/>
      <c r="Z106" s="163"/>
      <c r="AA106" s="163"/>
      <c r="AB106" s="163"/>
      <c r="AC106" s="163"/>
      <c r="AD106" s="163"/>
      <c r="AE106" s="163"/>
      <c r="AF106" s="163"/>
      <c r="AG106" s="163"/>
      <c r="AH106" s="163"/>
      <c r="AI106" s="163"/>
      <c r="AJ106" s="163"/>
      <c r="AK106" s="163"/>
      <c r="AL106" s="163"/>
      <c r="AM106" s="163"/>
      <c r="AN106" s="163"/>
      <c r="AO106" s="163"/>
      <c r="AP106" s="163"/>
      <c r="AQ106" s="163"/>
      <c r="AR106" s="163"/>
      <c r="AS106" s="163"/>
      <c r="AT106" s="163"/>
      <c r="AU106" s="163"/>
      <c r="AV106" s="163"/>
    </row>
    <row r="107" spans="1:48" x14ac:dyDescent="0.2">
      <c r="A107" s="163"/>
      <c r="U107" s="163"/>
      <c r="V107" s="163"/>
      <c r="W107" s="163"/>
      <c r="X107" s="163"/>
      <c r="Y107" s="163"/>
      <c r="Z107" s="163"/>
      <c r="AA107" s="163"/>
      <c r="AB107" s="163"/>
      <c r="AC107" s="163"/>
      <c r="AD107" s="163"/>
      <c r="AE107" s="163"/>
      <c r="AF107" s="163"/>
      <c r="AG107" s="163"/>
      <c r="AH107" s="163"/>
      <c r="AI107" s="163"/>
      <c r="AJ107" s="163"/>
      <c r="AK107" s="163"/>
      <c r="AL107" s="163"/>
      <c r="AM107" s="163"/>
      <c r="AN107" s="163"/>
      <c r="AO107" s="163"/>
      <c r="AP107" s="163"/>
      <c r="AQ107" s="163"/>
      <c r="AR107" s="163"/>
      <c r="AS107" s="163"/>
      <c r="AT107" s="163"/>
      <c r="AU107" s="163"/>
      <c r="AV107" s="163"/>
    </row>
    <row r="108" spans="1:48" x14ac:dyDescent="0.2">
      <c r="A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row>
    <row r="109" spans="1:48" x14ac:dyDescent="0.2">
      <c r="A109" s="163"/>
      <c r="U109" s="163"/>
      <c r="V109" s="163"/>
      <c r="W109" s="163"/>
      <c r="X109" s="163"/>
      <c r="Y109" s="163"/>
      <c r="Z109" s="163"/>
      <c r="AA109" s="163"/>
      <c r="AB109" s="163"/>
      <c r="AC109" s="163"/>
      <c r="AD109" s="163"/>
      <c r="AE109" s="163"/>
      <c r="AF109" s="163"/>
      <c r="AG109" s="163"/>
      <c r="AH109" s="163"/>
      <c r="AI109" s="163"/>
      <c r="AJ109" s="163"/>
      <c r="AK109" s="163"/>
      <c r="AL109" s="163"/>
      <c r="AM109" s="163"/>
      <c r="AN109" s="163"/>
      <c r="AO109" s="163"/>
      <c r="AP109" s="163"/>
      <c r="AQ109" s="163"/>
      <c r="AR109" s="163"/>
      <c r="AS109" s="163"/>
      <c r="AT109" s="163"/>
      <c r="AU109" s="163"/>
      <c r="AV109" s="163"/>
    </row>
    <row r="110" spans="1:48" x14ac:dyDescent="0.2">
      <c r="A110" s="163"/>
      <c r="U110" s="163"/>
      <c r="V110" s="163"/>
      <c r="W110" s="163"/>
      <c r="X110" s="163"/>
      <c r="Y110" s="163"/>
      <c r="Z110" s="163"/>
      <c r="AA110" s="163"/>
      <c r="AB110" s="163"/>
      <c r="AC110" s="163"/>
      <c r="AD110" s="163"/>
      <c r="AE110" s="163"/>
      <c r="AF110" s="163"/>
      <c r="AG110" s="163"/>
      <c r="AH110" s="163"/>
      <c r="AI110" s="163"/>
      <c r="AJ110" s="163"/>
      <c r="AK110" s="163"/>
      <c r="AL110" s="163"/>
      <c r="AM110" s="163"/>
      <c r="AN110" s="163"/>
      <c r="AO110" s="163"/>
      <c r="AP110" s="163"/>
      <c r="AQ110" s="163"/>
      <c r="AR110" s="163"/>
      <c r="AS110" s="163"/>
      <c r="AT110" s="163"/>
      <c r="AU110" s="163"/>
      <c r="AV110" s="163"/>
    </row>
    <row r="111" spans="1:48" x14ac:dyDescent="0.2">
      <c r="A111" s="163"/>
      <c r="U111" s="163"/>
      <c r="V111" s="163"/>
      <c r="W111" s="163"/>
      <c r="X111" s="163"/>
      <c r="Y111" s="163"/>
      <c r="Z111" s="163"/>
      <c r="AA111" s="163"/>
      <c r="AB111" s="163"/>
      <c r="AC111" s="163"/>
      <c r="AD111" s="163"/>
      <c r="AE111" s="163"/>
      <c r="AF111" s="163"/>
      <c r="AG111" s="163"/>
      <c r="AH111" s="163"/>
      <c r="AI111" s="163"/>
      <c r="AJ111" s="163"/>
      <c r="AK111" s="163"/>
      <c r="AL111" s="163"/>
      <c r="AM111" s="163"/>
      <c r="AN111" s="163"/>
      <c r="AO111" s="163"/>
      <c r="AP111" s="163"/>
      <c r="AQ111" s="163"/>
      <c r="AR111" s="163"/>
      <c r="AS111" s="163"/>
      <c r="AT111" s="163"/>
      <c r="AU111" s="163"/>
      <c r="AV111" s="163"/>
    </row>
    <row r="112" spans="1:48" x14ac:dyDescent="0.2">
      <c r="A112" s="163"/>
      <c r="U112" s="163"/>
      <c r="V112" s="163"/>
      <c r="W112" s="163"/>
      <c r="X112" s="163"/>
      <c r="Y112" s="163"/>
      <c r="Z112" s="163"/>
      <c r="AA112" s="163"/>
      <c r="AB112" s="163"/>
      <c r="AC112" s="163"/>
      <c r="AD112" s="163"/>
      <c r="AE112" s="163"/>
      <c r="AF112" s="163"/>
      <c r="AG112" s="163"/>
      <c r="AH112" s="163"/>
      <c r="AI112" s="163"/>
      <c r="AJ112" s="163"/>
      <c r="AK112" s="163"/>
      <c r="AL112" s="163"/>
      <c r="AM112" s="163"/>
      <c r="AN112" s="163"/>
      <c r="AO112" s="163"/>
      <c r="AP112" s="163"/>
      <c r="AQ112" s="163"/>
      <c r="AR112" s="163"/>
      <c r="AS112" s="163"/>
      <c r="AT112" s="163"/>
      <c r="AU112" s="163"/>
      <c r="AV112" s="163"/>
    </row>
    <row r="113" spans="1:48" x14ac:dyDescent="0.2">
      <c r="A113" s="163"/>
      <c r="U113" s="163"/>
      <c r="V113" s="163"/>
      <c r="W113" s="163"/>
      <c r="X113" s="163"/>
      <c r="Y113" s="163"/>
      <c r="Z113" s="163"/>
      <c r="AA113" s="163"/>
      <c r="AB113" s="163"/>
      <c r="AC113" s="163"/>
      <c r="AD113" s="163"/>
      <c r="AE113" s="163"/>
      <c r="AF113" s="163"/>
      <c r="AG113" s="163"/>
      <c r="AH113" s="163"/>
      <c r="AI113" s="163"/>
      <c r="AJ113" s="163"/>
      <c r="AK113" s="163"/>
      <c r="AL113" s="163"/>
      <c r="AM113" s="163"/>
      <c r="AN113" s="163"/>
      <c r="AO113" s="163"/>
      <c r="AP113" s="163"/>
      <c r="AQ113" s="163"/>
      <c r="AR113" s="163"/>
      <c r="AS113" s="163"/>
      <c r="AT113" s="163"/>
      <c r="AU113" s="163"/>
      <c r="AV113" s="163"/>
    </row>
    <row r="114" spans="1:48" x14ac:dyDescent="0.2">
      <c r="A114" s="163"/>
      <c r="U114" s="163"/>
      <c r="V114" s="163"/>
      <c r="W114" s="163"/>
      <c r="X114" s="163"/>
      <c r="Y114" s="163"/>
      <c r="Z114" s="163"/>
      <c r="AA114" s="163"/>
      <c r="AB114" s="163"/>
      <c r="AC114" s="163"/>
      <c r="AD114" s="163"/>
      <c r="AE114" s="163"/>
      <c r="AF114" s="163"/>
      <c r="AG114" s="163"/>
      <c r="AH114" s="163"/>
      <c r="AI114" s="163"/>
      <c r="AJ114" s="163"/>
      <c r="AK114" s="163"/>
      <c r="AL114" s="163"/>
      <c r="AM114" s="163"/>
      <c r="AN114" s="163"/>
      <c r="AO114" s="163"/>
      <c r="AP114" s="163"/>
      <c r="AQ114" s="163"/>
      <c r="AR114" s="163"/>
      <c r="AS114" s="163"/>
      <c r="AT114" s="163"/>
      <c r="AU114" s="163"/>
      <c r="AV114" s="163"/>
    </row>
    <row r="115" spans="1:48" x14ac:dyDescent="0.2">
      <c r="A115" s="163"/>
      <c r="U115" s="163"/>
      <c r="V115" s="163"/>
      <c r="W115" s="163"/>
      <c r="X115" s="163"/>
      <c r="Y115" s="163"/>
      <c r="Z115" s="163"/>
      <c r="AA115" s="163"/>
      <c r="AB115" s="163"/>
      <c r="AC115" s="163"/>
      <c r="AD115" s="163"/>
      <c r="AE115" s="163"/>
      <c r="AF115" s="163"/>
      <c r="AG115" s="163"/>
      <c r="AH115" s="163"/>
      <c r="AI115" s="163"/>
      <c r="AJ115" s="163"/>
      <c r="AK115" s="163"/>
      <c r="AL115" s="163"/>
      <c r="AM115" s="163"/>
      <c r="AN115" s="163"/>
      <c r="AO115" s="163"/>
      <c r="AP115" s="163"/>
      <c r="AQ115" s="163"/>
      <c r="AR115" s="163"/>
      <c r="AS115" s="163"/>
      <c r="AT115" s="163"/>
      <c r="AU115" s="163"/>
      <c r="AV115" s="163"/>
    </row>
    <row r="116" spans="1:48" x14ac:dyDescent="0.2">
      <c r="A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row>
    <row r="117" spans="1:48" x14ac:dyDescent="0.2">
      <c r="A117" s="163"/>
      <c r="U117" s="163"/>
      <c r="V117" s="163"/>
      <c r="W117" s="163"/>
      <c r="X117" s="163"/>
      <c r="Y117" s="163"/>
      <c r="Z117" s="163"/>
      <c r="AA117" s="163"/>
      <c r="AB117" s="163"/>
      <c r="AC117" s="163"/>
      <c r="AD117" s="163"/>
      <c r="AE117" s="163"/>
      <c r="AF117" s="163"/>
      <c r="AG117" s="163"/>
      <c r="AH117" s="163"/>
      <c r="AI117" s="163"/>
      <c r="AJ117" s="163"/>
      <c r="AK117" s="163"/>
      <c r="AL117" s="163"/>
      <c r="AM117" s="163"/>
      <c r="AN117" s="163"/>
      <c r="AO117" s="163"/>
      <c r="AP117" s="163"/>
      <c r="AQ117" s="163"/>
      <c r="AR117" s="163"/>
      <c r="AS117" s="163"/>
      <c r="AT117" s="163"/>
      <c r="AU117" s="163"/>
      <c r="AV117" s="163"/>
    </row>
    <row r="118" spans="1:48" x14ac:dyDescent="0.2">
      <c r="A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row>
    <row r="119" spans="1:48" x14ac:dyDescent="0.2">
      <c r="A119" s="163"/>
      <c r="U119" s="163"/>
      <c r="V119" s="163"/>
      <c r="W119" s="163"/>
      <c r="X119" s="163"/>
      <c r="Y119" s="163"/>
      <c r="Z119" s="163"/>
      <c r="AA119" s="163"/>
      <c r="AB119" s="163"/>
      <c r="AC119" s="163"/>
      <c r="AD119" s="163"/>
      <c r="AE119" s="163"/>
      <c r="AF119" s="163"/>
      <c r="AG119" s="163"/>
      <c r="AH119" s="163"/>
      <c r="AI119" s="163"/>
      <c r="AJ119" s="163"/>
      <c r="AK119" s="163"/>
      <c r="AL119" s="163"/>
      <c r="AM119" s="163"/>
      <c r="AN119" s="163"/>
      <c r="AO119" s="163"/>
      <c r="AP119" s="163"/>
      <c r="AQ119" s="163"/>
      <c r="AR119" s="163"/>
      <c r="AS119" s="163"/>
      <c r="AT119" s="163"/>
      <c r="AU119" s="163"/>
      <c r="AV119" s="163"/>
    </row>
    <row r="120" spans="1:48" x14ac:dyDescent="0.2">
      <c r="A120" s="163"/>
      <c r="U120" s="163"/>
      <c r="V120" s="163"/>
      <c r="W120" s="163"/>
      <c r="X120" s="163"/>
      <c r="Y120" s="163"/>
      <c r="Z120" s="163"/>
      <c r="AA120" s="163"/>
      <c r="AB120" s="163"/>
      <c r="AC120" s="163"/>
      <c r="AD120" s="163"/>
      <c r="AE120" s="163"/>
      <c r="AF120" s="163"/>
      <c r="AG120" s="163"/>
      <c r="AH120" s="163"/>
      <c r="AI120" s="163"/>
      <c r="AJ120" s="163"/>
      <c r="AK120" s="163"/>
      <c r="AL120" s="163"/>
      <c r="AM120" s="163"/>
      <c r="AN120" s="163"/>
      <c r="AO120" s="163"/>
      <c r="AP120" s="163"/>
      <c r="AQ120" s="163"/>
      <c r="AR120" s="163"/>
      <c r="AS120" s="163"/>
      <c r="AT120" s="163"/>
      <c r="AU120" s="163"/>
      <c r="AV120" s="163"/>
    </row>
    <row r="121" spans="1:48" x14ac:dyDescent="0.2">
      <c r="A121" s="163"/>
      <c r="U121" s="163"/>
      <c r="V121" s="163"/>
      <c r="W121" s="163"/>
      <c r="X121" s="163"/>
      <c r="Y121" s="163"/>
      <c r="Z121" s="163"/>
      <c r="AA121" s="163"/>
      <c r="AB121" s="163"/>
      <c r="AC121" s="163"/>
      <c r="AD121" s="163"/>
      <c r="AE121" s="163"/>
      <c r="AF121" s="163"/>
      <c r="AG121" s="163"/>
      <c r="AH121" s="163"/>
      <c r="AI121" s="163"/>
      <c r="AJ121" s="163"/>
      <c r="AK121" s="163"/>
      <c r="AL121" s="163"/>
      <c r="AM121" s="163"/>
      <c r="AN121" s="163"/>
      <c r="AO121" s="163"/>
      <c r="AP121" s="163"/>
      <c r="AQ121" s="163"/>
      <c r="AR121" s="163"/>
      <c r="AS121" s="163"/>
      <c r="AT121" s="163"/>
      <c r="AU121" s="163"/>
      <c r="AV121" s="163"/>
    </row>
    <row r="122" spans="1:48" x14ac:dyDescent="0.2">
      <c r="A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row>
    <row r="123" spans="1:48" x14ac:dyDescent="0.2">
      <c r="A123" s="163"/>
      <c r="U123" s="163"/>
      <c r="V123" s="163"/>
      <c r="W123" s="163"/>
      <c r="X123" s="163"/>
      <c r="Y123" s="163"/>
      <c r="Z123" s="163"/>
      <c r="AA123" s="163"/>
      <c r="AB123" s="163"/>
      <c r="AC123" s="163"/>
      <c r="AD123" s="163"/>
      <c r="AE123" s="163"/>
      <c r="AF123" s="163"/>
      <c r="AG123" s="163"/>
      <c r="AH123" s="163"/>
      <c r="AI123" s="163"/>
      <c r="AJ123" s="163"/>
      <c r="AK123" s="163"/>
      <c r="AL123" s="163"/>
      <c r="AM123" s="163"/>
      <c r="AN123" s="163"/>
      <c r="AO123" s="163"/>
      <c r="AP123" s="163"/>
      <c r="AQ123" s="163"/>
      <c r="AR123" s="163"/>
      <c r="AS123" s="163"/>
      <c r="AT123" s="163"/>
      <c r="AU123" s="163"/>
      <c r="AV123" s="163"/>
    </row>
    <row r="124" spans="1:48" x14ac:dyDescent="0.2">
      <c r="A124" s="163"/>
      <c r="U124" s="163"/>
      <c r="V124" s="163"/>
      <c r="W124" s="163"/>
      <c r="X124" s="163"/>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3"/>
      <c r="AT124" s="163"/>
      <c r="AU124" s="163"/>
      <c r="AV124" s="163"/>
    </row>
    <row r="125" spans="1:48" x14ac:dyDescent="0.2">
      <c r="A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row>
    <row r="126" spans="1:48" x14ac:dyDescent="0.2">
      <c r="A126" s="163"/>
      <c r="U126" s="163"/>
      <c r="V126" s="163"/>
      <c r="W126" s="163"/>
      <c r="X126" s="163"/>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163"/>
      <c r="AU126" s="163"/>
      <c r="AV126" s="163"/>
    </row>
    <row r="127" spans="1:48" x14ac:dyDescent="0.2">
      <c r="A127" s="163"/>
      <c r="U127" s="163"/>
      <c r="V127" s="163"/>
      <c r="W127" s="163"/>
      <c r="X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row>
    <row r="128" spans="1:48" x14ac:dyDescent="0.2">
      <c r="A128" s="163"/>
      <c r="U128" s="163"/>
      <c r="V128" s="163"/>
      <c r="W128" s="163"/>
      <c r="X128" s="163"/>
      <c r="Y128" s="163"/>
      <c r="Z128" s="163"/>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row>
    <row r="129" spans="1:48" x14ac:dyDescent="0.2">
      <c r="A129" s="163"/>
      <c r="U129" s="163"/>
      <c r="V129" s="163"/>
      <c r="W129" s="163"/>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row>
    <row r="130" spans="1:48" x14ac:dyDescent="0.2">
      <c r="A130" s="163"/>
      <c r="U130" s="163"/>
      <c r="V130" s="163"/>
      <c r="W130" s="163"/>
      <c r="X130" s="163"/>
      <c r="Y130" s="163"/>
      <c r="Z130" s="163"/>
      <c r="AA130" s="163"/>
      <c r="AB130" s="163"/>
      <c r="AC130" s="163"/>
      <c r="AD130" s="163"/>
      <c r="AE130" s="163"/>
      <c r="AF130" s="163"/>
      <c r="AG130" s="163"/>
      <c r="AH130" s="163"/>
      <c r="AI130" s="163"/>
      <c r="AJ130" s="163"/>
      <c r="AK130" s="163"/>
      <c r="AL130" s="163"/>
      <c r="AM130" s="163"/>
      <c r="AN130" s="163"/>
      <c r="AO130" s="163"/>
      <c r="AP130" s="163"/>
      <c r="AQ130" s="163"/>
      <c r="AR130" s="163"/>
      <c r="AS130" s="163"/>
      <c r="AT130" s="163"/>
      <c r="AU130" s="163"/>
      <c r="AV130" s="163"/>
    </row>
    <row r="131" spans="1:48" x14ac:dyDescent="0.2">
      <c r="A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row>
    <row r="132" spans="1:48" x14ac:dyDescent="0.2">
      <c r="A132" s="163"/>
      <c r="U132" s="163"/>
      <c r="V132" s="163"/>
      <c r="W132" s="163"/>
      <c r="X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row>
    <row r="133" spans="1:48" x14ac:dyDescent="0.2">
      <c r="A133" s="163"/>
      <c r="U133" s="163"/>
      <c r="V133" s="163"/>
      <c r="W133" s="163"/>
      <c r="X133" s="163"/>
      <c r="Y133" s="163"/>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row>
    <row r="134" spans="1:48" x14ac:dyDescent="0.2">
      <c r="A134" s="163"/>
      <c r="U134" s="163"/>
      <c r="V134" s="163"/>
      <c r="W134" s="163"/>
      <c r="X134" s="163"/>
      <c r="Y134" s="163"/>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row>
    <row r="135" spans="1:48" x14ac:dyDescent="0.2">
      <c r="A135" s="163"/>
      <c r="U135" s="163"/>
      <c r="V135" s="163"/>
      <c r="W135" s="163"/>
      <c r="X135" s="163"/>
      <c r="Y135" s="163"/>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row>
    <row r="136" spans="1:48" x14ac:dyDescent="0.2">
      <c r="A136" s="163"/>
      <c r="U136" s="163"/>
      <c r="V136" s="163"/>
      <c r="W136" s="163"/>
      <c r="X136" s="163"/>
      <c r="Y136" s="163"/>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row>
    <row r="137" spans="1:48" x14ac:dyDescent="0.2">
      <c r="A137" s="163"/>
      <c r="U137" s="163"/>
      <c r="V137" s="163"/>
      <c r="W137" s="163"/>
      <c r="X137" s="163"/>
      <c r="Y137" s="163"/>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row>
    <row r="138" spans="1:48" x14ac:dyDescent="0.2">
      <c r="A138" s="163"/>
      <c r="U138" s="163"/>
      <c r="V138" s="163"/>
      <c r="W138" s="163"/>
      <c r="X138" s="163"/>
      <c r="Y138" s="163"/>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row>
    <row r="139" spans="1:48" x14ac:dyDescent="0.2">
      <c r="A139" s="163"/>
      <c r="U139" s="163"/>
      <c r="V139" s="163"/>
      <c r="W139" s="163"/>
      <c r="X139" s="163"/>
      <c r="Y139" s="163"/>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row>
    <row r="140" spans="1:48" x14ac:dyDescent="0.2">
      <c r="A140" s="163"/>
      <c r="U140" s="163"/>
      <c r="V140" s="163"/>
      <c r="W140" s="163"/>
      <c r="X140" s="163"/>
      <c r="Y140" s="163"/>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row>
    <row r="141" spans="1:48" x14ac:dyDescent="0.2">
      <c r="A141" s="163"/>
      <c r="U141" s="163"/>
      <c r="V141" s="163"/>
      <c r="W141" s="163"/>
      <c r="X141" s="163"/>
      <c r="Y141" s="163"/>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row>
    <row r="142" spans="1:48" x14ac:dyDescent="0.2">
      <c r="A142" s="163"/>
      <c r="U142" s="163"/>
      <c r="V142" s="163"/>
      <c r="W142" s="163"/>
      <c r="X142" s="163"/>
      <c r="Y142" s="163"/>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row>
    <row r="143" spans="1:48" x14ac:dyDescent="0.2">
      <c r="A143" s="163"/>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row>
    <row r="144" spans="1:48" x14ac:dyDescent="0.2">
      <c r="A144" s="163"/>
      <c r="U144" s="163"/>
      <c r="V144" s="163"/>
      <c r="W144" s="163"/>
      <c r="X144" s="163"/>
      <c r="Y144" s="163"/>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row>
    <row r="145" spans="1:48" x14ac:dyDescent="0.2">
      <c r="A145" s="163"/>
      <c r="U145" s="163"/>
      <c r="V145" s="163"/>
      <c r="W145" s="163"/>
      <c r="X145" s="163"/>
      <c r="Y145" s="163"/>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row>
    <row r="146" spans="1:48" x14ac:dyDescent="0.2">
      <c r="A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row>
    <row r="147" spans="1:48" x14ac:dyDescent="0.2">
      <c r="A147" s="163"/>
      <c r="U147" s="163"/>
      <c r="V147" s="163"/>
      <c r="W147" s="163"/>
      <c r="X147" s="163"/>
      <c r="Y147" s="163"/>
      <c r="Z147" s="163"/>
      <c r="AA147" s="163"/>
      <c r="AB147" s="163"/>
      <c r="AC147" s="163"/>
      <c r="AD147" s="163"/>
      <c r="AE147" s="163"/>
      <c r="AF147" s="163"/>
      <c r="AG147" s="163"/>
      <c r="AH147" s="163"/>
      <c r="AI147" s="163"/>
      <c r="AJ147" s="163"/>
      <c r="AK147" s="163"/>
      <c r="AL147" s="163"/>
      <c r="AM147" s="163"/>
      <c r="AN147" s="163"/>
      <c r="AO147" s="163"/>
      <c r="AP147" s="163"/>
      <c r="AQ147" s="163"/>
      <c r="AR147" s="163"/>
      <c r="AS147" s="163"/>
      <c r="AT147" s="163"/>
      <c r="AU147" s="163"/>
      <c r="AV147" s="163"/>
    </row>
    <row r="148" spans="1:48" x14ac:dyDescent="0.2">
      <c r="A148" s="163"/>
      <c r="U148" s="163"/>
      <c r="V148" s="163"/>
      <c r="W148" s="163"/>
      <c r="X148" s="163"/>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row>
    <row r="149" spans="1:48" x14ac:dyDescent="0.2">
      <c r="A149" s="163"/>
      <c r="U149" s="163"/>
      <c r="V149" s="163"/>
      <c r="W149" s="163"/>
      <c r="X149" s="163"/>
      <c r="Y149" s="163"/>
      <c r="Z149" s="163"/>
      <c r="AA149" s="163"/>
      <c r="AB149" s="163"/>
      <c r="AC149" s="163"/>
      <c r="AD149" s="163"/>
      <c r="AE149" s="163"/>
      <c r="AF149" s="163"/>
      <c r="AG149" s="163"/>
      <c r="AH149" s="163"/>
      <c r="AI149" s="163"/>
      <c r="AJ149" s="163"/>
      <c r="AK149" s="163"/>
      <c r="AL149" s="163"/>
      <c r="AM149" s="163"/>
      <c r="AN149" s="163"/>
      <c r="AO149" s="163"/>
      <c r="AP149" s="163"/>
      <c r="AQ149" s="163"/>
      <c r="AR149" s="163"/>
      <c r="AS149" s="163"/>
      <c r="AT149" s="163"/>
      <c r="AU149" s="163"/>
      <c r="AV149" s="163"/>
    </row>
    <row r="150" spans="1:48" x14ac:dyDescent="0.2">
      <c r="A150" s="163"/>
      <c r="U150" s="163"/>
      <c r="V150" s="163"/>
      <c r="W150" s="163"/>
      <c r="X150" s="163"/>
      <c r="Y150" s="163"/>
      <c r="Z150" s="163"/>
      <c r="AA150" s="163"/>
      <c r="AB150" s="163"/>
      <c r="AC150" s="163"/>
      <c r="AD150" s="163"/>
      <c r="AE150" s="163"/>
      <c r="AF150" s="163"/>
      <c r="AG150" s="163"/>
      <c r="AH150" s="163"/>
      <c r="AI150" s="163"/>
      <c r="AJ150" s="163"/>
      <c r="AK150" s="163"/>
      <c r="AL150" s="163"/>
      <c r="AM150" s="163"/>
      <c r="AN150" s="163"/>
      <c r="AO150" s="163"/>
      <c r="AP150" s="163"/>
      <c r="AQ150" s="163"/>
      <c r="AR150" s="163"/>
      <c r="AS150" s="163"/>
      <c r="AT150" s="163"/>
      <c r="AU150" s="163"/>
      <c r="AV150" s="163"/>
    </row>
    <row r="151" spans="1:48" x14ac:dyDescent="0.2">
      <c r="A151" s="163"/>
      <c r="U151" s="163"/>
      <c r="V151" s="163"/>
      <c r="W151" s="163"/>
      <c r="X151" s="163"/>
      <c r="Y151" s="163"/>
      <c r="Z151" s="163"/>
      <c r="AA151" s="163"/>
      <c r="AB151" s="163"/>
      <c r="AC151" s="163"/>
      <c r="AD151" s="163"/>
      <c r="AE151" s="163"/>
      <c r="AF151" s="163"/>
      <c r="AG151" s="163"/>
      <c r="AH151" s="163"/>
      <c r="AI151" s="163"/>
      <c r="AJ151" s="163"/>
      <c r="AK151" s="163"/>
      <c r="AL151" s="163"/>
      <c r="AM151" s="163"/>
      <c r="AN151" s="163"/>
      <c r="AO151" s="163"/>
      <c r="AP151" s="163"/>
      <c r="AQ151" s="163"/>
      <c r="AR151" s="163"/>
      <c r="AS151" s="163"/>
      <c r="AT151" s="163"/>
      <c r="AU151" s="163"/>
      <c r="AV151" s="163"/>
    </row>
    <row r="152" spans="1:48" x14ac:dyDescent="0.2">
      <c r="A152" s="163"/>
      <c r="U152" s="163"/>
      <c r="V152" s="163"/>
      <c r="W152" s="163"/>
      <c r="X152" s="163"/>
      <c r="Y152" s="163"/>
      <c r="Z152" s="163"/>
      <c r="AA152" s="163"/>
      <c r="AB152" s="163"/>
      <c r="AC152" s="163"/>
      <c r="AD152" s="163"/>
      <c r="AE152" s="163"/>
      <c r="AF152" s="163"/>
      <c r="AG152" s="163"/>
      <c r="AH152" s="163"/>
      <c r="AI152" s="163"/>
      <c r="AJ152" s="163"/>
      <c r="AK152" s="163"/>
      <c r="AL152" s="163"/>
      <c r="AM152" s="163"/>
      <c r="AN152" s="163"/>
      <c r="AO152" s="163"/>
      <c r="AP152" s="163"/>
      <c r="AQ152" s="163"/>
      <c r="AR152" s="163"/>
      <c r="AS152" s="163"/>
      <c r="AT152" s="163"/>
      <c r="AU152" s="163"/>
      <c r="AV152" s="163"/>
    </row>
    <row r="153" spans="1:48" x14ac:dyDescent="0.2">
      <c r="A153" s="163"/>
      <c r="U153" s="163"/>
      <c r="V153" s="163"/>
      <c r="W153" s="163"/>
      <c r="X153" s="163"/>
      <c r="Y153" s="163"/>
      <c r="Z153" s="163"/>
      <c r="AA153" s="163"/>
      <c r="AB153" s="163"/>
      <c r="AC153" s="163"/>
      <c r="AD153" s="163"/>
      <c r="AE153" s="163"/>
      <c r="AF153" s="163"/>
      <c r="AG153" s="163"/>
      <c r="AH153" s="163"/>
      <c r="AI153" s="163"/>
      <c r="AJ153" s="163"/>
      <c r="AK153" s="163"/>
      <c r="AL153" s="163"/>
      <c r="AM153" s="163"/>
      <c r="AN153" s="163"/>
      <c r="AO153" s="163"/>
      <c r="AP153" s="163"/>
      <c r="AQ153" s="163"/>
      <c r="AR153" s="163"/>
      <c r="AS153" s="163"/>
      <c r="AT153" s="163"/>
      <c r="AU153" s="163"/>
      <c r="AV153" s="163"/>
    </row>
    <row r="154" spans="1:48" x14ac:dyDescent="0.2">
      <c r="A154" s="163"/>
      <c r="U154" s="163"/>
      <c r="V154" s="163"/>
      <c r="W154" s="163"/>
      <c r="X154" s="163"/>
      <c r="Y154" s="163"/>
      <c r="Z154" s="163"/>
      <c r="AA154" s="163"/>
      <c r="AB154" s="163"/>
      <c r="AC154" s="163"/>
      <c r="AD154" s="163"/>
      <c r="AE154" s="163"/>
      <c r="AF154" s="163"/>
      <c r="AG154" s="163"/>
      <c r="AH154" s="163"/>
      <c r="AI154" s="163"/>
      <c r="AJ154" s="163"/>
      <c r="AK154" s="163"/>
      <c r="AL154" s="163"/>
      <c r="AM154" s="163"/>
      <c r="AN154" s="163"/>
      <c r="AO154" s="163"/>
      <c r="AP154" s="163"/>
      <c r="AQ154" s="163"/>
      <c r="AR154" s="163"/>
      <c r="AS154" s="163"/>
      <c r="AT154" s="163"/>
      <c r="AU154" s="163"/>
      <c r="AV154" s="163"/>
    </row>
    <row r="155" spans="1:48" x14ac:dyDescent="0.2">
      <c r="A155" s="163"/>
      <c r="U155" s="163"/>
      <c r="V155" s="163"/>
      <c r="W155" s="163"/>
      <c r="X155" s="163"/>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row>
    <row r="156" spans="1:48" x14ac:dyDescent="0.2">
      <c r="A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row>
    <row r="157" spans="1:48" x14ac:dyDescent="0.2">
      <c r="A157" s="163"/>
      <c r="U157" s="163"/>
      <c r="V157" s="163"/>
      <c r="W157" s="163"/>
      <c r="X157" s="163"/>
      <c r="Y157" s="163"/>
      <c r="Z157" s="163"/>
      <c r="AA157" s="163"/>
      <c r="AB157" s="163"/>
      <c r="AC157" s="163"/>
      <c r="AD157" s="163"/>
      <c r="AE157" s="163"/>
      <c r="AF157" s="163"/>
      <c r="AG157" s="163"/>
      <c r="AH157" s="163"/>
      <c r="AI157" s="163"/>
      <c r="AJ157" s="163"/>
      <c r="AK157" s="163"/>
      <c r="AL157" s="163"/>
      <c r="AM157" s="163"/>
      <c r="AN157" s="163"/>
      <c r="AO157" s="163"/>
      <c r="AP157" s="163"/>
      <c r="AQ157" s="163"/>
      <c r="AR157" s="163"/>
      <c r="AS157" s="163"/>
      <c r="AT157" s="163"/>
      <c r="AU157" s="163"/>
      <c r="AV157" s="163"/>
    </row>
    <row r="158" spans="1:48" x14ac:dyDescent="0.2">
      <c r="A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3"/>
    </row>
    <row r="159" spans="1:48" x14ac:dyDescent="0.2">
      <c r="A159" s="163"/>
      <c r="U159" s="163"/>
      <c r="V159" s="163"/>
      <c r="W159" s="163"/>
      <c r="X159" s="163"/>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row>
    <row r="160" spans="1:48" x14ac:dyDescent="0.2">
      <c r="A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row>
    <row r="161" spans="1:48" x14ac:dyDescent="0.2">
      <c r="A161" s="163"/>
      <c r="U161" s="163"/>
      <c r="V161" s="163"/>
      <c r="W161" s="163"/>
      <c r="X161" s="163"/>
      <c r="Y161" s="163"/>
      <c r="Z161" s="163"/>
      <c r="AA161" s="163"/>
      <c r="AB161" s="163"/>
      <c r="AC161" s="163"/>
      <c r="AD161" s="163"/>
      <c r="AE161" s="163"/>
      <c r="AF161" s="163"/>
      <c r="AG161" s="163"/>
      <c r="AH161" s="163"/>
      <c r="AI161" s="163"/>
      <c r="AJ161" s="163"/>
      <c r="AK161" s="163"/>
      <c r="AL161" s="163"/>
      <c r="AM161" s="163"/>
      <c r="AN161" s="163"/>
      <c r="AO161" s="163"/>
      <c r="AP161" s="163"/>
      <c r="AQ161" s="163"/>
      <c r="AR161" s="163"/>
      <c r="AS161" s="163"/>
      <c r="AT161" s="163"/>
      <c r="AU161" s="163"/>
      <c r="AV161" s="163"/>
    </row>
    <row r="162" spans="1:48" x14ac:dyDescent="0.2">
      <c r="A162" s="163"/>
      <c r="U162" s="163"/>
      <c r="V162" s="163"/>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row>
    <row r="163" spans="1:48" x14ac:dyDescent="0.2">
      <c r="A163" s="163"/>
      <c r="U163" s="163"/>
      <c r="V163" s="163"/>
      <c r="W163" s="163"/>
      <c r="X163" s="163"/>
      <c r="Y163" s="163"/>
      <c r="Z163" s="163"/>
      <c r="AA163" s="163"/>
      <c r="AB163" s="163"/>
      <c r="AC163" s="163"/>
      <c r="AD163" s="163"/>
      <c r="AE163" s="163"/>
      <c r="AF163" s="163"/>
      <c r="AG163" s="163"/>
      <c r="AH163" s="163"/>
      <c r="AI163" s="163"/>
      <c r="AJ163" s="163"/>
      <c r="AK163" s="163"/>
      <c r="AL163" s="163"/>
      <c r="AM163" s="163"/>
      <c r="AN163" s="163"/>
      <c r="AO163" s="163"/>
      <c r="AP163" s="163"/>
      <c r="AQ163" s="163"/>
      <c r="AR163" s="163"/>
      <c r="AS163" s="163"/>
      <c r="AT163" s="163"/>
      <c r="AU163" s="163"/>
      <c r="AV163" s="163"/>
    </row>
    <row r="164" spans="1:48" x14ac:dyDescent="0.2">
      <c r="A164" s="163"/>
      <c r="U164" s="163"/>
      <c r="V164" s="163"/>
      <c r="W164" s="163"/>
      <c r="X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row>
    <row r="165" spans="1:48" x14ac:dyDescent="0.2">
      <c r="A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row>
    <row r="166" spans="1:48" x14ac:dyDescent="0.2">
      <c r="A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row>
    <row r="167" spans="1:48" x14ac:dyDescent="0.2">
      <c r="A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row>
    <row r="168" spans="1:48" x14ac:dyDescent="0.2">
      <c r="A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row>
    <row r="169" spans="1:48" x14ac:dyDescent="0.2">
      <c r="A169" s="163"/>
      <c r="U169" s="163"/>
      <c r="V169" s="163"/>
      <c r="W169" s="163"/>
      <c r="X169" s="163"/>
      <c r="Y169" s="163"/>
      <c r="Z169" s="163"/>
      <c r="AA169" s="163"/>
      <c r="AB169" s="163"/>
      <c r="AC169" s="163"/>
      <c r="AD169" s="163"/>
      <c r="AE169" s="163"/>
      <c r="AF169" s="163"/>
      <c r="AG169" s="163"/>
      <c r="AH169" s="163"/>
      <c r="AI169" s="163"/>
      <c r="AJ169" s="163"/>
      <c r="AK169" s="163"/>
      <c r="AL169" s="163"/>
      <c r="AM169" s="163"/>
      <c r="AN169" s="163"/>
      <c r="AO169" s="163"/>
      <c r="AP169" s="163"/>
      <c r="AQ169" s="163"/>
      <c r="AR169" s="163"/>
      <c r="AS169" s="163"/>
      <c r="AT169" s="163"/>
      <c r="AU169" s="163"/>
      <c r="AV169" s="163"/>
    </row>
    <row r="170" spans="1:48" x14ac:dyDescent="0.2">
      <c r="A170" s="163"/>
      <c r="U170" s="163"/>
      <c r="V170" s="163"/>
      <c r="W170" s="163"/>
      <c r="X170" s="163"/>
      <c r="Y170" s="163"/>
      <c r="Z170" s="163"/>
      <c r="AA170" s="163"/>
      <c r="AB170" s="163"/>
      <c r="AC170" s="163"/>
      <c r="AD170" s="163"/>
      <c r="AE170" s="163"/>
      <c r="AF170" s="163"/>
      <c r="AG170" s="163"/>
      <c r="AH170" s="163"/>
      <c r="AI170" s="163"/>
      <c r="AJ170" s="163"/>
      <c r="AK170" s="163"/>
      <c r="AL170" s="163"/>
      <c r="AM170" s="163"/>
      <c r="AN170" s="163"/>
      <c r="AO170" s="163"/>
      <c r="AP170" s="163"/>
      <c r="AQ170" s="163"/>
      <c r="AR170" s="163"/>
      <c r="AS170" s="163"/>
      <c r="AT170" s="163"/>
      <c r="AU170" s="163"/>
      <c r="AV170" s="163"/>
    </row>
    <row r="171" spans="1:48" x14ac:dyDescent="0.2">
      <c r="A171" s="163"/>
      <c r="U171" s="163"/>
      <c r="V171" s="163"/>
      <c r="W171" s="163"/>
      <c r="X171" s="163"/>
      <c r="Y171" s="163"/>
      <c r="Z171" s="163"/>
      <c r="AA171" s="163"/>
      <c r="AB171" s="163"/>
      <c r="AC171" s="163"/>
      <c r="AD171" s="163"/>
      <c r="AE171" s="163"/>
      <c r="AF171" s="163"/>
      <c r="AG171" s="163"/>
      <c r="AH171" s="163"/>
      <c r="AI171" s="163"/>
      <c r="AJ171" s="163"/>
      <c r="AK171" s="163"/>
      <c r="AL171" s="163"/>
      <c r="AM171" s="163"/>
      <c r="AN171" s="163"/>
      <c r="AO171" s="163"/>
      <c r="AP171" s="163"/>
      <c r="AQ171" s="163"/>
      <c r="AR171" s="163"/>
      <c r="AS171" s="163"/>
      <c r="AT171" s="163"/>
      <c r="AU171" s="163"/>
      <c r="AV171" s="163"/>
    </row>
    <row r="172" spans="1:48" x14ac:dyDescent="0.2">
      <c r="A172" s="163"/>
      <c r="U172" s="163"/>
      <c r="V172" s="163"/>
      <c r="W172" s="163"/>
      <c r="X172" s="163"/>
      <c r="Y172" s="163"/>
      <c r="Z172" s="163"/>
      <c r="AA172" s="163"/>
      <c r="AB172" s="163"/>
      <c r="AC172" s="163"/>
      <c r="AD172" s="163"/>
      <c r="AE172" s="163"/>
      <c r="AF172" s="163"/>
      <c r="AG172" s="163"/>
      <c r="AH172" s="163"/>
      <c r="AI172" s="163"/>
      <c r="AJ172" s="163"/>
      <c r="AK172" s="163"/>
      <c r="AL172" s="163"/>
      <c r="AM172" s="163"/>
      <c r="AN172" s="163"/>
      <c r="AO172" s="163"/>
      <c r="AP172" s="163"/>
      <c r="AQ172" s="163"/>
      <c r="AR172" s="163"/>
      <c r="AS172" s="163"/>
      <c r="AT172" s="163"/>
      <c r="AU172" s="163"/>
      <c r="AV172" s="163"/>
    </row>
    <row r="173" spans="1:48" x14ac:dyDescent="0.2">
      <c r="A173" s="163"/>
      <c r="U173" s="163"/>
      <c r="V173" s="163"/>
      <c r="W173" s="163"/>
      <c r="X173" s="163"/>
      <c r="Y173" s="163"/>
      <c r="Z173" s="163"/>
      <c r="AA173" s="163"/>
      <c r="AB173" s="163"/>
      <c r="AC173" s="163"/>
      <c r="AD173" s="163"/>
      <c r="AE173" s="163"/>
      <c r="AF173" s="163"/>
      <c r="AG173" s="163"/>
      <c r="AH173" s="163"/>
      <c r="AI173" s="163"/>
      <c r="AJ173" s="163"/>
      <c r="AK173" s="163"/>
      <c r="AL173" s="163"/>
      <c r="AM173" s="163"/>
      <c r="AN173" s="163"/>
      <c r="AO173" s="163"/>
      <c r="AP173" s="163"/>
      <c r="AQ173" s="163"/>
      <c r="AR173" s="163"/>
      <c r="AS173" s="163"/>
      <c r="AT173" s="163"/>
      <c r="AU173" s="163"/>
      <c r="AV173" s="163"/>
    </row>
    <row r="174" spans="1:48" x14ac:dyDescent="0.2">
      <c r="A174" s="163"/>
      <c r="U174" s="163"/>
      <c r="V174" s="163"/>
      <c r="W174" s="163"/>
      <c r="X174" s="163"/>
      <c r="Y174" s="163"/>
      <c r="Z174" s="163"/>
      <c r="AA174" s="163"/>
      <c r="AB174" s="163"/>
      <c r="AC174" s="163"/>
      <c r="AD174" s="163"/>
      <c r="AE174" s="163"/>
      <c r="AF174" s="163"/>
      <c r="AG174" s="163"/>
      <c r="AH174" s="163"/>
      <c r="AI174" s="163"/>
      <c r="AJ174" s="163"/>
      <c r="AK174" s="163"/>
      <c r="AL174" s="163"/>
      <c r="AM174" s="163"/>
      <c r="AN174" s="163"/>
      <c r="AO174" s="163"/>
      <c r="AP174" s="163"/>
      <c r="AQ174" s="163"/>
      <c r="AR174" s="163"/>
      <c r="AS174" s="163"/>
      <c r="AT174" s="163"/>
      <c r="AU174" s="163"/>
      <c r="AV174" s="163"/>
    </row>
    <row r="175" spans="1:48" x14ac:dyDescent="0.2">
      <c r="A175" s="163"/>
      <c r="U175" s="163"/>
      <c r="V175" s="163"/>
      <c r="W175" s="163"/>
      <c r="X175" s="163"/>
      <c r="Y175" s="163"/>
      <c r="Z175" s="163"/>
      <c r="AA175" s="163"/>
      <c r="AB175" s="163"/>
      <c r="AC175" s="163"/>
      <c r="AD175" s="163"/>
      <c r="AE175" s="163"/>
      <c r="AF175" s="163"/>
      <c r="AG175" s="163"/>
      <c r="AH175" s="163"/>
      <c r="AI175" s="163"/>
      <c r="AJ175" s="163"/>
      <c r="AK175" s="163"/>
      <c r="AL175" s="163"/>
      <c r="AM175" s="163"/>
      <c r="AN175" s="163"/>
      <c r="AO175" s="163"/>
      <c r="AP175" s="163"/>
      <c r="AQ175" s="163"/>
      <c r="AR175" s="163"/>
      <c r="AS175" s="163"/>
      <c r="AT175" s="163"/>
      <c r="AU175" s="163"/>
      <c r="AV175" s="163"/>
    </row>
    <row r="176" spans="1:48" x14ac:dyDescent="0.2">
      <c r="A176" s="163"/>
      <c r="U176" s="163"/>
      <c r="V176" s="163"/>
      <c r="W176" s="163"/>
      <c r="X176" s="163"/>
      <c r="Y176" s="163"/>
      <c r="Z176" s="163"/>
      <c r="AA176" s="163"/>
      <c r="AB176" s="163"/>
      <c r="AC176" s="163"/>
      <c r="AD176" s="163"/>
      <c r="AE176" s="163"/>
      <c r="AF176" s="163"/>
      <c r="AG176" s="163"/>
      <c r="AH176" s="163"/>
      <c r="AI176" s="163"/>
      <c r="AJ176" s="163"/>
      <c r="AK176" s="163"/>
      <c r="AL176" s="163"/>
      <c r="AM176" s="163"/>
      <c r="AN176" s="163"/>
      <c r="AO176" s="163"/>
      <c r="AP176" s="163"/>
      <c r="AQ176" s="163"/>
      <c r="AR176" s="163"/>
      <c r="AS176" s="163"/>
      <c r="AT176" s="163"/>
      <c r="AU176" s="163"/>
      <c r="AV176" s="163"/>
    </row>
    <row r="177" spans="1:48" x14ac:dyDescent="0.2">
      <c r="A177" s="163"/>
      <c r="U177" s="163"/>
      <c r="V177" s="163"/>
      <c r="W177" s="163"/>
      <c r="X177" s="163"/>
      <c r="Y177" s="163"/>
      <c r="Z177" s="163"/>
      <c r="AA177" s="163"/>
      <c r="AB177" s="163"/>
      <c r="AC177" s="163"/>
      <c r="AD177" s="163"/>
      <c r="AE177" s="163"/>
      <c r="AF177" s="163"/>
      <c r="AG177" s="163"/>
      <c r="AH177" s="163"/>
      <c r="AI177" s="163"/>
      <c r="AJ177" s="163"/>
      <c r="AK177" s="163"/>
      <c r="AL177" s="163"/>
      <c r="AM177" s="163"/>
      <c r="AN177" s="163"/>
      <c r="AO177" s="163"/>
      <c r="AP177" s="163"/>
      <c r="AQ177" s="163"/>
      <c r="AR177" s="163"/>
      <c r="AS177" s="163"/>
      <c r="AT177" s="163"/>
      <c r="AU177" s="163"/>
      <c r="AV177" s="163"/>
    </row>
    <row r="178" spans="1:48" x14ac:dyDescent="0.2">
      <c r="A178" s="163"/>
      <c r="U178" s="163"/>
      <c r="V178" s="163"/>
      <c r="W178" s="163"/>
      <c r="X178" s="163"/>
      <c r="Y178" s="163"/>
      <c r="Z178" s="163"/>
      <c r="AA178" s="163"/>
      <c r="AB178" s="163"/>
      <c r="AC178" s="163"/>
      <c r="AD178" s="163"/>
      <c r="AE178" s="163"/>
      <c r="AF178" s="163"/>
      <c r="AG178" s="163"/>
      <c r="AH178" s="163"/>
      <c r="AI178" s="163"/>
      <c r="AJ178" s="163"/>
      <c r="AK178" s="163"/>
      <c r="AL178" s="163"/>
      <c r="AM178" s="163"/>
      <c r="AN178" s="163"/>
      <c r="AO178" s="163"/>
      <c r="AP178" s="163"/>
      <c r="AQ178" s="163"/>
      <c r="AR178" s="163"/>
      <c r="AS178" s="163"/>
      <c r="AT178" s="163"/>
      <c r="AU178" s="163"/>
      <c r="AV178" s="163"/>
    </row>
    <row r="179" spans="1:48" x14ac:dyDescent="0.2">
      <c r="A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row>
    <row r="180" spans="1:48" x14ac:dyDescent="0.2">
      <c r="A180" s="163"/>
      <c r="U180" s="163"/>
      <c r="V180" s="163"/>
      <c r="W180" s="163"/>
      <c r="X180" s="163"/>
      <c r="Y180" s="163"/>
      <c r="Z180" s="163"/>
      <c r="AA180" s="163"/>
      <c r="AB180" s="163"/>
      <c r="AC180" s="163"/>
      <c r="AD180" s="163"/>
      <c r="AE180" s="163"/>
      <c r="AF180" s="163"/>
      <c r="AG180" s="163"/>
      <c r="AH180" s="163"/>
      <c r="AI180" s="163"/>
      <c r="AJ180" s="163"/>
      <c r="AK180" s="163"/>
      <c r="AL180" s="163"/>
      <c r="AM180" s="163"/>
      <c r="AN180" s="163"/>
      <c r="AO180" s="163"/>
      <c r="AP180" s="163"/>
      <c r="AQ180" s="163"/>
      <c r="AR180" s="163"/>
      <c r="AS180" s="163"/>
      <c r="AT180" s="163"/>
      <c r="AU180" s="163"/>
      <c r="AV180" s="163"/>
    </row>
    <row r="181" spans="1:48" x14ac:dyDescent="0.2">
      <c r="A181" s="163"/>
      <c r="U181" s="163"/>
      <c r="V181" s="163"/>
      <c r="W181" s="163"/>
      <c r="X181" s="163"/>
      <c r="Y181" s="163"/>
      <c r="Z181" s="163"/>
      <c r="AA181" s="163"/>
      <c r="AB181" s="163"/>
      <c r="AC181" s="163"/>
      <c r="AD181" s="163"/>
      <c r="AE181" s="163"/>
      <c r="AF181" s="163"/>
      <c r="AG181" s="163"/>
      <c r="AH181" s="163"/>
      <c r="AI181" s="163"/>
      <c r="AJ181" s="163"/>
      <c r="AK181" s="163"/>
      <c r="AL181" s="163"/>
      <c r="AM181" s="163"/>
      <c r="AN181" s="163"/>
      <c r="AO181" s="163"/>
      <c r="AP181" s="163"/>
      <c r="AQ181" s="163"/>
      <c r="AR181" s="163"/>
      <c r="AS181" s="163"/>
      <c r="AT181" s="163"/>
      <c r="AU181" s="163"/>
      <c r="AV181" s="163"/>
    </row>
    <row r="182" spans="1:48" x14ac:dyDescent="0.2">
      <c r="A182" s="163"/>
      <c r="U182" s="163"/>
      <c r="V182" s="163"/>
      <c r="W182" s="163"/>
      <c r="X182" s="163"/>
      <c r="Y182" s="163"/>
      <c r="Z182" s="163"/>
      <c r="AA182" s="163"/>
      <c r="AB182" s="163"/>
      <c r="AC182" s="163"/>
      <c r="AD182" s="163"/>
      <c r="AE182" s="163"/>
      <c r="AF182" s="163"/>
      <c r="AG182" s="163"/>
      <c r="AH182" s="163"/>
      <c r="AI182" s="163"/>
      <c r="AJ182" s="163"/>
      <c r="AK182" s="163"/>
      <c r="AL182" s="163"/>
      <c r="AM182" s="163"/>
      <c r="AN182" s="163"/>
      <c r="AO182" s="163"/>
      <c r="AP182" s="163"/>
      <c r="AQ182" s="163"/>
      <c r="AR182" s="163"/>
      <c r="AS182" s="163"/>
      <c r="AT182" s="163"/>
      <c r="AU182" s="163"/>
      <c r="AV182" s="163"/>
    </row>
    <row r="183" spans="1:48" x14ac:dyDescent="0.2">
      <c r="A183" s="163"/>
      <c r="U183" s="163"/>
      <c r="V183" s="163"/>
      <c r="W183" s="163"/>
      <c r="X183" s="163"/>
      <c r="Y183" s="163"/>
      <c r="Z183" s="163"/>
      <c r="AA183" s="163"/>
      <c r="AB183" s="163"/>
      <c r="AC183" s="163"/>
      <c r="AD183" s="163"/>
      <c r="AE183" s="163"/>
      <c r="AF183" s="163"/>
      <c r="AG183" s="163"/>
      <c r="AH183" s="163"/>
      <c r="AI183" s="163"/>
      <c r="AJ183" s="163"/>
      <c r="AK183" s="163"/>
      <c r="AL183" s="163"/>
      <c r="AM183" s="163"/>
      <c r="AN183" s="163"/>
      <c r="AO183" s="163"/>
      <c r="AP183" s="163"/>
      <c r="AQ183" s="163"/>
      <c r="AR183" s="163"/>
      <c r="AS183" s="163"/>
      <c r="AT183" s="163"/>
      <c r="AU183" s="163"/>
      <c r="AV183" s="163"/>
    </row>
    <row r="184" spans="1:48" x14ac:dyDescent="0.2">
      <c r="A184" s="163"/>
      <c r="U184" s="163"/>
      <c r="V184" s="163"/>
      <c r="W184" s="163"/>
      <c r="X184" s="163"/>
      <c r="Y184" s="163"/>
      <c r="Z184" s="163"/>
      <c r="AA184" s="163"/>
      <c r="AB184" s="163"/>
      <c r="AC184" s="163"/>
      <c r="AD184" s="163"/>
      <c r="AE184" s="163"/>
      <c r="AF184" s="163"/>
      <c r="AG184" s="163"/>
      <c r="AH184" s="163"/>
      <c r="AI184" s="163"/>
      <c r="AJ184" s="163"/>
      <c r="AK184" s="163"/>
      <c r="AL184" s="163"/>
      <c r="AM184" s="163"/>
      <c r="AN184" s="163"/>
      <c r="AO184" s="163"/>
      <c r="AP184" s="163"/>
      <c r="AQ184" s="163"/>
      <c r="AR184" s="163"/>
      <c r="AS184" s="163"/>
      <c r="AT184" s="163"/>
      <c r="AU184" s="163"/>
      <c r="AV184" s="163"/>
    </row>
    <row r="185" spans="1:48" x14ac:dyDescent="0.2">
      <c r="A185" s="163"/>
      <c r="U185" s="163"/>
      <c r="V185" s="163"/>
      <c r="W185" s="163"/>
      <c r="X185" s="163"/>
      <c r="Y185" s="163"/>
      <c r="Z185" s="163"/>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row>
    <row r="186" spans="1:48" x14ac:dyDescent="0.2">
      <c r="A186" s="163"/>
      <c r="U186" s="163"/>
      <c r="V186" s="163"/>
      <c r="W186" s="163"/>
      <c r="X186" s="163"/>
      <c r="Y186" s="163"/>
      <c r="Z186" s="163"/>
      <c r="AA186" s="163"/>
      <c r="AB186" s="163"/>
      <c r="AC186" s="163"/>
      <c r="AD186" s="163"/>
      <c r="AE186" s="163"/>
      <c r="AF186" s="163"/>
      <c r="AG186" s="163"/>
      <c r="AH186" s="163"/>
      <c r="AI186" s="163"/>
      <c r="AJ186" s="163"/>
      <c r="AK186" s="163"/>
      <c r="AL186" s="163"/>
      <c r="AM186" s="163"/>
      <c r="AN186" s="163"/>
      <c r="AO186" s="163"/>
      <c r="AP186" s="163"/>
      <c r="AQ186" s="163"/>
      <c r="AR186" s="163"/>
      <c r="AS186" s="163"/>
      <c r="AT186" s="163"/>
      <c r="AU186" s="163"/>
      <c r="AV186" s="163"/>
    </row>
    <row r="187" spans="1:48" x14ac:dyDescent="0.2">
      <c r="A187" s="163"/>
      <c r="U187" s="163"/>
      <c r="V187" s="163"/>
      <c r="W187" s="163"/>
      <c r="X187" s="163"/>
      <c r="Y187" s="163"/>
      <c r="Z187" s="163"/>
      <c r="AA187" s="163"/>
      <c r="AB187" s="163"/>
      <c r="AC187" s="163"/>
      <c r="AD187" s="163"/>
      <c r="AE187" s="163"/>
      <c r="AF187" s="163"/>
      <c r="AG187" s="163"/>
      <c r="AH187" s="163"/>
      <c r="AI187" s="163"/>
      <c r="AJ187" s="163"/>
      <c r="AK187" s="163"/>
      <c r="AL187" s="163"/>
      <c r="AM187" s="163"/>
      <c r="AN187" s="163"/>
      <c r="AO187" s="163"/>
      <c r="AP187" s="163"/>
      <c r="AQ187" s="163"/>
      <c r="AR187" s="163"/>
      <c r="AS187" s="163"/>
      <c r="AT187" s="163"/>
      <c r="AU187" s="163"/>
      <c r="AV187" s="163"/>
    </row>
    <row r="188" spans="1:48" x14ac:dyDescent="0.2">
      <c r="A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row>
    <row r="189" spans="1:48" x14ac:dyDescent="0.2">
      <c r="A189" s="163"/>
      <c r="U189" s="163"/>
      <c r="V189" s="163"/>
      <c r="W189" s="163"/>
      <c r="X189" s="163"/>
      <c r="Y189" s="163"/>
      <c r="Z189" s="163"/>
      <c r="AA189" s="163"/>
      <c r="AB189" s="163"/>
      <c r="AC189" s="163"/>
      <c r="AD189" s="163"/>
      <c r="AE189" s="163"/>
      <c r="AF189" s="163"/>
      <c r="AG189" s="163"/>
      <c r="AH189" s="163"/>
      <c r="AI189" s="163"/>
      <c r="AJ189" s="163"/>
      <c r="AK189" s="163"/>
      <c r="AL189" s="163"/>
      <c r="AM189" s="163"/>
      <c r="AN189" s="163"/>
      <c r="AO189" s="163"/>
      <c r="AP189" s="163"/>
      <c r="AQ189" s="163"/>
      <c r="AR189" s="163"/>
      <c r="AS189" s="163"/>
      <c r="AT189" s="163"/>
      <c r="AU189" s="163"/>
      <c r="AV189" s="163"/>
    </row>
    <row r="190" spans="1:48" x14ac:dyDescent="0.2">
      <c r="A190" s="163"/>
      <c r="U190" s="163"/>
      <c r="V190" s="163"/>
      <c r="W190" s="163"/>
      <c r="X190" s="163"/>
      <c r="Y190" s="163"/>
      <c r="Z190" s="163"/>
      <c r="AA190" s="163"/>
      <c r="AB190" s="163"/>
      <c r="AC190" s="163"/>
      <c r="AD190" s="163"/>
      <c r="AE190" s="163"/>
      <c r="AF190" s="163"/>
      <c r="AG190" s="163"/>
      <c r="AH190" s="163"/>
      <c r="AI190" s="163"/>
      <c r="AJ190" s="163"/>
      <c r="AK190" s="163"/>
      <c r="AL190" s="163"/>
      <c r="AM190" s="163"/>
      <c r="AN190" s="163"/>
      <c r="AO190" s="163"/>
      <c r="AP190" s="163"/>
      <c r="AQ190" s="163"/>
      <c r="AR190" s="163"/>
      <c r="AS190" s="163"/>
      <c r="AT190" s="163"/>
      <c r="AU190" s="163"/>
      <c r="AV190" s="163"/>
    </row>
    <row r="191" spans="1:48" x14ac:dyDescent="0.2">
      <c r="A191" s="163"/>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row>
    <row r="192" spans="1:48" x14ac:dyDescent="0.2">
      <c r="A192" s="163"/>
      <c r="U192" s="163"/>
      <c r="V192" s="163"/>
      <c r="W192" s="163"/>
      <c r="X192" s="163"/>
      <c r="Y192" s="163"/>
      <c r="Z192" s="163"/>
      <c r="AA192" s="163"/>
      <c r="AB192" s="163"/>
      <c r="AC192" s="163"/>
      <c r="AD192" s="163"/>
      <c r="AE192" s="163"/>
      <c r="AF192" s="163"/>
      <c r="AG192" s="163"/>
      <c r="AH192" s="163"/>
      <c r="AI192" s="163"/>
      <c r="AJ192" s="163"/>
      <c r="AK192" s="163"/>
      <c r="AL192" s="163"/>
      <c r="AM192" s="163"/>
      <c r="AN192" s="163"/>
      <c r="AO192" s="163"/>
      <c r="AP192" s="163"/>
      <c r="AQ192" s="163"/>
      <c r="AR192" s="163"/>
      <c r="AS192" s="163"/>
      <c r="AT192" s="163"/>
      <c r="AU192" s="163"/>
      <c r="AV192" s="163"/>
    </row>
    <row r="193" spans="1:48" x14ac:dyDescent="0.2">
      <c r="A193" s="163"/>
      <c r="U193" s="163"/>
      <c r="V193" s="163"/>
      <c r="W193" s="163"/>
      <c r="X193" s="163"/>
      <c r="Y193" s="163"/>
      <c r="Z193" s="163"/>
      <c r="AA193" s="163"/>
      <c r="AB193" s="163"/>
      <c r="AC193" s="163"/>
      <c r="AD193" s="163"/>
      <c r="AE193" s="163"/>
      <c r="AF193" s="163"/>
      <c r="AG193" s="163"/>
      <c r="AH193" s="163"/>
      <c r="AI193" s="163"/>
      <c r="AJ193" s="163"/>
      <c r="AK193" s="163"/>
      <c r="AL193" s="163"/>
      <c r="AM193" s="163"/>
      <c r="AN193" s="163"/>
      <c r="AO193" s="163"/>
      <c r="AP193" s="163"/>
      <c r="AQ193" s="163"/>
      <c r="AR193" s="163"/>
      <c r="AS193" s="163"/>
      <c r="AT193" s="163"/>
      <c r="AU193" s="163"/>
      <c r="AV193" s="163"/>
    </row>
    <row r="194" spans="1:48" x14ac:dyDescent="0.2">
      <c r="A194" s="163"/>
      <c r="U194" s="163"/>
      <c r="V194" s="163"/>
      <c r="W194" s="163"/>
      <c r="X194" s="163"/>
      <c r="Y194" s="163"/>
      <c r="Z194" s="163"/>
      <c r="AA194" s="163"/>
      <c r="AB194" s="163"/>
      <c r="AC194" s="163"/>
      <c r="AD194" s="163"/>
      <c r="AE194" s="163"/>
      <c r="AF194" s="163"/>
      <c r="AG194" s="163"/>
      <c r="AH194" s="163"/>
      <c r="AI194" s="163"/>
      <c r="AJ194" s="163"/>
      <c r="AK194" s="163"/>
      <c r="AL194" s="163"/>
      <c r="AM194" s="163"/>
      <c r="AN194" s="163"/>
      <c r="AO194" s="163"/>
      <c r="AP194" s="163"/>
      <c r="AQ194" s="163"/>
      <c r="AR194" s="163"/>
      <c r="AS194" s="163"/>
      <c r="AT194" s="163"/>
      <c r="AU194" s="163"/>
      <c r="AV194" s="163"/>
    </row>
    <row r="195" spans="1:48" x14ac:dyDescent="0.2">
      <c r="A195" s="163"/>
      <c r="U195" s="163"/>
      <c r="V195" s="163"/>
      <c r="W195" s="163"/>
      <c r="X195" s="163"/>
      <c r="Y195" s="163"/>
      <c r="Z195" s="163"/>
      <c r="AA195" s="163"/>
      <c r="AB195" s="163"/>
      <c r="AC195" s="163"/>
      <c r="AD195" s="163"/>
      <c r="AE195" s="163"/>
      <c r="AF195" s="163"/>
      <c r="AG195" s="163"/>
      <c r="AH195" s="163"/>
      <c r="AI195" s="163"/>
      <c r="AJ195" s="163"/>
      <c r="AK195" s="163"/>
      <c r="AL195" s="163"/>
      <c r="AM195" s="163"/>
      <c r="AN195" s="163"/>
      <c r="AO195" s="163"/>
      <c r="AP195" s="163"/>
      <c r="AQ195" s="163"/>
      <c r="AR195" s="163"/>
      <c r="AS195" s="163"/>
      <c r="AT195" s="163"/>
      <c r="AU195" s="163"/>
      <c r="AV195" s="163"/>
    </row>
    <row r="196" spans="1:48" x14ac:dyDescent="0.2">
      <c r="A196" s="163"/>
      <c r="U196" s="163"/>
      <c r="V196" s="163"/>
      <c r="W196" s="163"/>
      <c r="X196" s="163"/>
      <c r="Y196" s="163"/>
      <c r="Z196" s="163"/>
      <c r="AA196" s="163"/>
      <c r="AB196" s="163"/>
      <c r="AC196" s="163"/>
      <c r="AD196" s="163"/>
      <c r="AE196" s="163"/>
      <c r="AF196" s="163"/>
      <c r="AG196" s="163"/>
      <c r="AH196" s="163"/>
      <c r="AI196" s="163"/>
      <c r="AJ196" s="163"/>
      <c r="AK196" s="163"/>
      <c r="AL196" s="163"/>
      <c r="AM196" s="163"/>
      <c r="AN196" s="163"/>
      <c r="AO196" s="163"/>
      <c r="AP196" s="163"/>
      <c r="AQ196" s="163"/>
      <c r="AR196" s="163"/>
      <c r="AS196" s="163"/>
      <c r="AT196" s="163"/>
      <c r="AU196" s="163"/>
      <c r="AV196" s="163"/>
    </row>
    <row r="197" spans="1:48" x14ac:dyDescent="0.2">
      <c r="A197" s="163"/>
      <c r="U197" s="163"/>
      <c r="V197" s="163"/>
      <c r="W197" s="163"/>
      <c r="X197" s="163"/>
      <c r="Y197" s="163"/>
      <c r="Z197" s="163"/>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row>
    <row r="198" spans="1:48" x14ac:dyDescent="0.2">
      <c r="A198" s="163"/>
      <c r="U198" s="163"/>
      <c r="V198" s="163"/>
      <c r="W198" s="163"/>
      <c r="X198" s="163"/>
      <c r="Y198" s="163"/>
      <c r="Z198" s="163"/>
      <c r="AA198" s="163"/>
      <c r="AB198" s="163"/>
      <c r="AC198" s="163"/>
      <c r="AD198" s="163"/>
      <c r="AE198" s="163"/>
      <c r="AF198" s="163"/>
      <c r="AG198" s="163"/>
      <c r="AH198" s="163"/>
      <c r="AI198" s="163"/>
      <c r="AJ198" s="163"/>
      <c r="AK198" s="163"/>
      <c r="AL198" s="163"/>
      <c r="AM198" s="163"/>
      <c r="AN198" s="163"/>
      <c r="AO198" s="163"/>
      <c r="AP198" s="163"/>
      <c r="AQ198" s="163"/>
      <c r="AR198" s="163"/>
      <c r="AS198" s="163"/>
      <c r="AT198" s="163"/>
      <c r="AU198" s="163"/>
      <c r="AV198" s="163"/>
    </row>
    <row r="199" spans="1:48" x14ac:dyDescent="0.2">
      <c r="A199" s="163"/>
      <c r="U199" s="163"/>
      <c r="V199" s="163"/>
      <c r="W199" s="163"/>
      <c r="X199" s="163"/>
      <c r="Y199" s="163"/>
      <c r="Z199" s="163"/>
      <c r="AA199" s="163"/>
      <c r="AB199" s="163"/>
      <c r="AC199" s="163"/>
      <c r="AD199" s="163"/>
      <c r="AE199" s="163"/>
      <c r="AF199" s="163"/>
      <c r="AG199" s="163"/>
      <c r="AH199" s="163"/>
      <c r="AI199" s="163"/>
      <c r="AJ199" s="163"/>
      <c r="AK199" s="163"/>
      <c r="AL199" s="163"/>
      <c r="AM199" s="163"/>
      <c r="AN199" s="163"/>
      <c r="AO199" s="163"/>
      <c r="AP199" s="163"/>
      <c r="AQ199" s="163"/>
      <c r="AR199" s="163"/>
      <c r="AS199" s="163"/>
      <c r="AT199" s="163"/>
      <c r="AU199" s="163"/>
      <c r="AV199" s="163"/>
    </row>
    <row r="200" spans="1:48" x14ac:dyDescent="0.2">
      <c r="A200" s="163"/>
      <c r="U200" s="163"/>
      <c r="V200" s="163"/>
      <c r="W200" s="163"/>
      <c r="X200" s="163"/>
      <c r="Y200" s="163"/>
      <c r="Z200" s="163"/>
      <c r="AA200" s="163"/>
      <c r="AB200" s="163"/>
      <c r="AC200" s="163"/>
      <c r="AD200" s="163"/>
      <c r="AE200" s="163"/>
      <c r="AF200" s="163"/>
      <c r="AG200" s="163"/>
      <c r="AH200" s="163"/>
      <c r="AI200" s="163"/>
      <c r="AJ200" s="163"/>
      <c r="AK200" s="163"/>
      <c r="AL200" s="163"/>
      <c r="AM200" s="163"/>
      <c r="AN200" s="163"/>
      <c r="AO200" s="163"/>
      <c r="AP200" s="163"/>
      <c r="AQ200" s="163"/>
      <c r="AR200" s="163"/>
      <c r="AS200" s="163"/>
      <c r="AT200" s="163"/>
      <c r="AU200" s="163"/>
      <c r="AV200" s="163"/>
    </row>
    <row r="201" spans="1:48" x14ac:dyDescent="0.2">
      <c r="A201" s="163"/>
      <c r="U201" s="163"/>
      <c r="V201" s="163"/>
      <c r="W201" s="163"/>
      <c r="X201" s="163"/>
      <c r="Y201" s="163"/>
      <c r="Z201" s="163"/>
      <c r="AA201" s="163"/>
      <c r="AB201" s="163"/>
      <c r="AC201" s="163"/>
      <c r="AD201" s="163"/>
      <c r="AE201" s="163"/>
      <c r="AF201" s="163"/>
      <c r="AG201" s="163"/>
      <c r="AH201" s="163"/>
      <c r="AI201" s="163"/>
      <c r="AJ201" s="163"/>
      <c r="AK201" s="163"/>
      <c r="AL201" s="163"/>
      <c r="AM201" s="163"/>
      <c r="AN201" s="163"/>
      <c r="AO201" s="163"/>
      <c r="AP201" s="163"/>
      <c r="AQ201" s="163"/>
      <c r="AR201" s="163"/>
      <c r="AS201" s="163"/>
      <c r="AT201" s="163"/>
      <c r="AU201" s="163"/>
      <c r="AV201" s="163"/>
    </row>
    <row r="202" spans="1:48" x14ac:dyDescent="0.2">
      <c r="A202" s="163"/>
      <c r="U202" s="163"/>
      <c r="V202" s="163"/>
      <c r="W202" s="163"/>
      <c r="X202" s="163"/>
      <c r="Y202" s="163"/>
      <c r="Z202" s="163"/>
      <c r="AA202" s="163"/>
      <c r="AB202" s="163"/>
      <c r="AC202" s="163"/>
      <c r="AD202" s="163"/>
      <c r="AE202" s="163"/>
      <c r="AF202" s="163"/>
      <c r="AG202" s="163"/>
      <c r="AH202" s="163"/>
      <c r="AI202" s="163"/>
      <c r="AJ202" s="163"/>
      <c r="AK202" s="163"/>
      <c r="AL202" s="163"/>
      <c r="AM202" s="163"/>
      <c r="AN202" s="163"/>
      <c r="AO202" s="163"/>
      <c r="AP202" s="163"/>
      <c r="AQ202" s="163"/>
      <c r="AR202" s="163"/>
      <c r="AS202" s="163"/>
      <c r="AT202" s="163"/>
      <c r="AU202" s="163"/>
      <c r="AV202" s="163"/>
    </row>
    <row r="203" spans="1:48" x14ac:dyDescent="0.2">
      <c r="A203" s="163"/>
      <c r="U203" s="163"/>
      <c r="V203" s="163"/>
      <c r="W203" s="163"/>
      <c r="X203" s="163"/>
      <c r="Y203" s="163"/>
      <c r="Z203" s="163"/>
      <c r="AA203" s="163"/>
      <c r="AB203" s="163"/>
      <c r="AC203" s="163"/>
      <c r="AD203" s="163"/>
      <c r="AE203" s="163"/>
      <c r="AF203" s="163"/>
      <c r="AG203" s="163"/>
      <c r="AH203" s="163"/>
      <c r="AI203" s="163"/>
      <c r="AJ203" s="163"/>
      <c r="AK203" s="163"/>
      <c r="AL203" s="163"/>
      <c r="AM203" s="163"/>
      <c r="AN203" s="163"/>
      <c r="AO203" s="163"/>
      <c r="AP203" s="163"/>
      <c r="AQ203" s="163"/>
      <c r="AR203" s="163"/>
      <c r="AS203" s="163"/>
      <c r="AT203" s="163"/>
      <c r="AU203" s="163"/>
      <c r="AV203" s="163"/>
    </row>
    <row r="204" spans="1:48" x14ac:dyDescent="0.2">
      <c r="A204" s="163"/>
      <c r="U204" s="163"/>
      <c r="V204" s="163"/>
      <c r="W204" s="163"/>
      <c r="X204" s="163"/>
      <c r="Y204" s="163"/>
      <c r="Z204" s="163"/>
      <c r="AA204" s="163"/>
      <c r="AB204" s="163"/>
      <c r="AC204" s="163"/>
      <c r="AD204" s="163"/>
      <c r="AE204" s="163"/>
      <c r="AF204" s="163"/>
      <c r="AG204" s="163"/>
      <c r="AH204" s="163"/>
      <c r="AI204" s="163"/>
      <c r="AJ204" s="163"/>
      <c r="AK204" s="163"/>
      <c r="AL204" s="163"/>
      <c r="AM204" s="163"/>
      <c r="AN204" s="163"/>
      <c r="AO204" s="163"/>
      <c r="AP204" s="163"/>
      <c r="AQ204" s="163"/>
      <c r="AR204" s="163"/>
      <c r="AS204" s="163"/>
      <c r="AT204" s="163"/>
      <c r="AU204" s="163"/>
      <c r="AV204" s="163"/>
    </row>
    <row r="205" spans="1:48" x14ac:dyDescent="0.2">
      <c r="A205" s="163"/>
      <c r="U205" s="163"/>
      <c r="V205" s="163"/>
      <c r="W205" s="163"/>
      <c r="X205" s="163"/>
      <c r="Y205" s="163"/>
      <c r="Z205" s="163"/>
      <c r="AA205" s="163"/>
      <c r="AB205" s="163"/>
      <c r="AC205" s="163"/>
      <c r="AD205" s="163"/>
      <c r="AE205" s="163"/>
      <c r="AF205" s="163"/>
      <c r="AG205" s="163"/>
      <c r="AH205" s="163"/>
      <c r="AI205" s="163"/>
      <c r="AJ205" s="163"/>
      <c r="AK205" s="163"/>
      <c r="AL205" s="163"/>
      <c r="AM205" s="163"/>
      <c r="AN205" s="163"/>
      <c r="AO205" s="163"/>
      <c r="AP205" s="163"/>
      <c r="AQ205" s="163"/>
      <c r="AR205" s="163"/>
      <c r="AS205" s="163"/>
      <c r="AT205" s="163"/>
      <c r="AU205" s="163"/>
      <c r="AV205" s="163"/>
    </row>
  </sheetData>
  <sheetProtection algorithmName="SHA-512" hashValue="v1NkSYiPqhOwfJLTCkkMaXD8skJdsBRxUkaJV5O9v8UR3Y3+w2oMlR856CWFaQmsnVhJYhhVI2KElcEdtXNiPA==" saltValue="6E0Cic+xGI9g5sv4c7wmwA==" spinCount="100000" sheet="1" selectLockedCells="1"/>
  <mergeCells count="3">
    <mergeCell ref="B2:Q2"/>
    <mergeCell ref="G4:L4"/>
    <mergeCell ref="B1:F1"/>
  </mergeCells>
  <conditionalFormatting sqref="G6:L55">
    <cfRule type="expression" dxfId="117" priority="3">
      <formula>OR($E6="", $F6=0)</formula>
    </cfRule>
  </conditionalFormatting>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18CBB526-3EFF-4080-BC47-5C93FFFF6F7B}">
          <x14:formula1>
            <xm:f>References!$N$103:$N$115</xm:f>
          </x14:formula1>
          <xm:sqref>E4</xm:sqref>
        </x14:dataValidation>
        <x14:dataValidation type="list" allowBlank="1" showInputMessage="1" showErrorMessage="1" xr:uid="{A94CE329-5015-4A10-91AE-DE8F84789BC4}">
          <x14:formula1>
            <xm:f>References!$G$22:$G$24</xm:f>
          </x14:formula1>
          <xm:sqref>E6:E55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9088C-1E2E-40A5-A4C8-79E7CE7F4036}">
  <sheetPr>
    <tabColor theme="1"/>
  </sheetPr>
  <dimension ref="B2:L26"/>
  <sheetViews>
    <sheetView showGridLines="0" showRowColHeaders="0" workbookViewId="0">
      <selection activeCell="C2" sqref="C2:D2"/>
    </sheetView>
  </sheetViews>
  <sheetFormatPr defaultRowHeight="12.75" x14ac:dyDescent="0.2"/>
  <cols>
    <col min="1" max="1" width="9.140625" style="121"/>
    <col min="2" max="2" width="27.42578125" style="121" bestFit="1" customWidth="1"/>
    <col min="3" max="3" width="17.28515625" style="121" bestFit="1" customWidth="1"/>
    <col min="4" max="4" width="18.28515625" style="121" customWidth="1"/>
    <col min="5" max="5" width="9.140625" style="121"/>
    <col min="6" max="6" width="27.42578125" style="121" bestFit="1" customWidth="1"/>
    <col min="7" max="7" width="17.28515625" style="121" bestFit="1" customWidth="1"/>
    <col min="8" max="8" width="18" style="121" customWidth="1"/>
    <col min="9" max="9" width="9.140625" style="121"/>
    <col min="10" max="10" width="27.42578125" style="121" bestFit="1" customWidth="1"/>
    <col min="11" max="11" width="17.28515625" style="121" bestFit="1" customWidth="1"/>
    <col min="12" max="12" width="18.28515625" style="121" customWidth="1"/>
    <col min="13" max="16384" width="9.140625" style="121"/>
  </cols>
  <sheetData>
    <row r="2" spans="2:12" x14ac:dyDescent="0.2">
      <c r="B2" s="252" t="s">
        <v>402</v>
      </c>
      <c r="C2" s="332"/>
      <c r="D2" s="332"/>
      <c r="F2" s="252" t="s">
        <v>402</v>
      </c>
      <c r="G2" s="332"/>
      <c r="H2" s="332"/>
      <c r="J2" s="252" t="s">
        <v>402</v>
      </c>
      <c r="K2" s="332"/>
      <c r="L2" s="332"/>
    </row>
    <row r="3" spans="2:12" x14ac:dyDescent="0.2">
      <c r="B3" s="252" t="s">
        <v>403</v>
      </c>
      <c r="C3" s="332"/>
      <c r="D3" s="332"/>
      <c r="F3" s="252" t="s">
        <v>403</v>
      </c>
      <c r="G3" s="332"/>
      <c r="H3" s="332"/>
      <c r="J3" s="252" t="s">
        <v>403</v>
      </c>
      <c r="K3" s="332"/>
      <c r="L3" s="332"/>
    </row>
    <row r="4" spans="2:12" ht="25.5" x14ac:dyDescent="0.2">
      <c r="B4" s="255" t="s">
        <v>404</v>
      </c>
      <c r="C4" s="256" t="s">
        <v>405</v>
      </c>
      <c r="D4" s="256" t="s">
        <v>406</v>
      </c>
      <c r="F4" s="255" t="s">
        <v>404</v>
      </c>
      <c r="G4" s="256" t="s">
        <v>405</v>
      </c>
      <c r="H4" s="256" t="s">
        <v>406</v>
      </c>
      <c r="J4" s="255" t="s">
        <v>404</v>
      </c>
      <c r="K4" s="256" t="s">
        <v>405</v>
      </c>
      <c r="L4" s="256" t="s">
        <v>406</v>
      </c>
    </row>
    <row r="5" spans="2:12" x14ac:dyDescent="0.2">
      <c r="B5" s="252" t="s">
        <v>407</v>
      </c>
      <c r="C5" s="253"/>
      <c r="D5" s="254"/>
      <c r="F5" s="252" t="s">
        <v>407</v>
      </c>
      <c r="G5" s="253"/>
      <c r="H5" s="254"/>
      <c r="J5" s="252" t="s">
        <v>407</v>
      </c>
      <c r="K5" s="253"/>
      <c r="L5" s="254"/>
    </row>
    <row r="6" spans="2:12" x14ac:dyDescent="0.2">
      <c r="B6" s="252" t="s">
        <v>408</v>
      </c>
      <c r="C6" s="253"/>
      <c r="D6" s="254"/>
      <c r="F6" s="252" t="s">
        <v>408</v>
      </c>
      <c r="G6" s="253"/>
      <c r="H6" s="254"/>
      <c r="J6" s="252" t="s">
        <v>408</v>
      </c>
      <c r="K6" s="253"/>
      <c r="L6" s="254"/>
    </row>
    <row r="7" spans="2:12" x14ac:dyDescent="0.2">
      <c r="B7" s="252" t="s">
        <v>409</v>
      </c>
      <c r="C7" s="253"/>
      <c r="D7" s="254"/>
      <c r="F7" s="252" t="s">
        <v>409</v>
      </c>
      <c r="G7" s="253"/>
      <c r="H7" s="254"/>
      <c r="J7" s="252" t="s">
        <v>409</v>
      </c>
      <c r="K7" s="253"/>
      <c r="L7" s="254"/>
    </row>
    <row r="8" spans="2:12" x14ac:dyDescent="0.2">
      <c r="B8" s="252" t="s">
        <v>410</v>
      </c>
      <c r="C8" s="253"/>
      <c r="D8" s="254"/>
      <c r="F8" s="252" t="s">
        <v>410</v>
      </c>
      <c r="G8" s="253"/>
      <c r="H8" s="254"/>
      <c r="J8" s="252" t="s">
        <v>410</v>
      </c>
      <c r="K8" s="253"/>
      <c r="L8" s="254"/>
    </row>
    <row r="9" spans="2:12" x14ac:dyDescent="0.2">
      <c r="B9" s="252" t="s">
        <v>411</v>
      </c>
      <c r="C9" s="253"/>
      <c r="D9" s="254"/>
      <c r="F9" s="252" t="s">
        <v>411</v>
      </c>
      <c r="G9" s="253"/>
      <c r="H9" s="254"/>
      <c r="J9" s="252" t="s">
        <v>411</v>
      </c>
      <c r="K9" s="253"/>
      <c r="L9" s="254"/>
    </row>
    <row r="10" spans="2:12" x14ac:dyDescent="0.2">
      <c r="B10" s="252" t="s">
        <v>412</v>
      </c>
      <c r="C10" s="253"/>
      <c r="D10" s="254"/>
      <c r="F10" s="252" t="s">
        <v>412</v>
      </c>
      <c r="G10" s="253"/>
      <c r="H10" s="254"/>
      <c r="J10" s="252" t="s">
        <v>412</v>
      </c>
      <c r="K10" s="253"/>
      <c r="L10" s="254"/>
    </row>
    <row r="11" spans="2:12" x14ac:dyDescent="0.2">
      <c r="B11" s="252" t="s">
        <v>413</v>
      </c>
      <c r="C11" s="253"/>
      <c r="D11" s="254"/>
      <c r="F11" s="252" t="s">
        <v>413</v>
      </c>
      <c r="G11" s="253"/>
      <c r="H11" s="254"/>
      <c r="J11" s="252" t="s">
        <v>413</v>
      </c>
      <c r="K11" s="253"/>
      <c r="L11" s="254"/>
    </row>
    <row r="12" spans="2:12" x14ac:dyDescent="0.2">
      <c r="B12" s="252" t="s">
        <v>414</v>
      </c>
      <c r="C12" s="253"/>
      <c r="D12" s="254"/>
      <c r="F12" s="252" t="s">
        <v>414</v>
      </c>
      <c r="G12" s="253"/>
      <c r="H12" s="254"/>
      <c r="J12" s="252" t="s">
        <v>414</v>
      </c>
      <c r="K12" s="253"/>
      <c r="L12" s="254"/>
    </row>
    <row r="13" spans="2:12" x14ac:dyDescent="0.2">
      <c r="B13" s="252" t="s">
        <v>415</v>
      </c>
      <c r="C13" s="253"/>
      <c r="D13" s="254"/>
      <c r="F13" s="252" t="s">
        <v>415</v>
      </c>
      <c r="G13" s="253"/>
      <c r="H13" s="254"/>
      <c r="J13" s="252" t="s">
        <v>415</v>
      </c>
      <c r="K13" s="253"/>
      <c r="L13" s="254"/>
    </row>
    <row r="15" spans="2:12" x14ac:dyDescent="0.2">
      <c r="B15" s="252" t="s">
        <v>402</v>
      </c>
      <c r="C15" s="332"/>
      <c r="D15" s="332"/>
      <c r="F15" s="252" t="s">
        <v>402</v>
      </c>
      <c r="G15" s="332"/>
      <c r="H15" s="332"/>
      <c r="J15" s="252" t="s">
        <v>402</v>
      </c>
      <c r="K15" s="332"/>
      <c r="L15" s="332"/>
    </row>
    <row r="16" spans="2:12" x14ac:dyDescent="0.2">
      <c r="B16" s="252" t="s">
        <v>403</v>
      </c>
      <c r="C16" s="332"/>
      <c r="D16" s="332"/>
      <c r="F16" s="252" t="s">
        <v>403</v>
      </c>
      <c r="G16" s="332"/>
      <c r="H16" s="332"/>
      <c r="J16" s="252" t="s">
        <v>403</v>
      </c>
      <c r="K16" s="332"/>
      <c r="L16" s="332"/>
    </row>
    <row r="17" spans="2:12" ht="25.5" x14ac:dyDescent="0.2">
      <c r="B17" s="255" t="s">
        <v>404</v>
      </c>
      <c r="C17" s="256" t="s">
        <v>405</v>
      </c>
      <c r="D17" s="256" t="s">
        <v>406</v>
      </c>
      <c r="F17" s="255" t="s">
        <v>404</v>
      </c>
      <c r="G17" s="256" t="s">
        <v>405</v>
      </c>
      <c r="H17" s="256" t="s">
        <v>406</v>
      </c>
      <c r="J17" s="255" t="s">
        <v>404</v>
      </c>
      <c r="K17" s="256" t="s">
        <v>405</v>
      </c>
      <c r="L17" s="256" t="s">
        <v>406</v>
      </c>
    </row>
    <row r="18" spans="2:12" x14ac:dyDescent="0.2">
      <c r="B18" s="252" t="s">
        <v>407</v>
      </c>
      <c r="C18" s="253"/>
      <c r="D18" s="254"/>
      <c r="F18" s="252" t="s">
        <v>407</v>
      </c>
      <c r="G18" s="253"/>
      <c r="H18" s="254"/>
      <c r="J18" s="252" t="s">
        <v>407</v>
      </c>
      <c r="K18" s="253"/>
      <c r="L18" s="254"/>
    </row>
    <row r="19" spans="2:12" x14ac:dyDescent="0.2">
      <c r="B19" s="252" t="s">
        <v>408</v>
      </c>
      <c r="C19" s="253"/>
      <c r="D19" s="254"/>
      <c r="F19" s="252" t="s">
        <v>408</v>
      </c>
      <c r="G19" s="253"/>
      <c r="H19" s="254"/>
      <c r="J19" s="252" t="s">
        <v>408</v>
      </c>
      <c r="K19" s="253"/>
      <c r="L19" s="254"/>
    </row>
    <row r="20" spans="2:12" x14ac:dyDescent="0.2">
      <c r="B20" s="252" t="s">
        <v>409</v>
      </c>
      <c r="C20" s="253"/>
      <c r="D20" s="254"/>
      <c r="F20" s="252" t="s">
        <v>409</v>
      </c>
      <c r="G20" s="253"/>
      <c r="H20" s="254"/>
      <c r="J20" s="252" t="s">
        <v>409</v>
      </c>
      <c r="K20" s="253"/>
      <c r="L20" s="254"/>
    </row>
    <row r="21" spans="2:12" x14ac:dyDescent="0.2">
      <c r="B21" s="252" t="s">
        <v>410</v>
      </c>
      <c r="C21" s="253"/>
      <c r="D21" s="254"/>
      <c r="F21" s="252" t="s">
        <v>410</v>
      </c>
      <c r="G21" s="253"/>
      <c r="H21" s="254"/>
      <c r="J21" s="252" t="s">
        <v>410</v>
      </c>
      <c r="K21" s="253"/>
      <c r="L21" s="254"/>
    </row>
    <row r="22" spans="2:12" x14ac:dyDescent="0.2">
      <c r="B22" s="252" t="s">
        <v>411</v>
      </c>
      <c r="C22" s="253"/>
      <c r="D22" s="254"/>
      <c r="F22" s="252" t="s">
        <v>411</v>
      </c>
      <c r="G22" s="253"/>
      <c r="H22" s="254"/>
      <c r="J22" s="252" t="s">
        <v>411</v>
      </c>
      <c r="K22" s="253"/>
      <c r="L22" s="254"/>
    </row>
    <row r="23" spans="2:12" x14ac:dyDescent="0.2">
      <c r="B23" s="252" t="s">
        <v>412</v>
      </c>
      <c r="C23" s="253"/>
      <c r="D23" s="254"/>
      <c r="F23" s="252" t="s">
        <v>412</v>
      </c>
      <c r="G23" s="253"/>
      <c r="H23" s="254"/>
      <c r="J23" s="252" t="s">
        <v>412</v>
      </c>
      <c r="K23" s="253"/>
      <c r="L23" s="254"/>
    </row>
    <row r="24" spans="2:12" x14ac:dyDescent="0.2">
      <c r="B24" s="252" t="s">
        <v>413</v>
      </c>
      <c r="C24" s="253"/>
      <c r="D24" s="254"/>
      <c r="F24" s="252" t="s">
        <v>413</v>
      </c>
      <c r="G24" s="253"/>
      <c r="H24" s="254"/>
      <c r="J24" s="252" t="s">
        <v>413</v>
      </c>
      <c r="K24" s="253"/>
      <c r="L24" s="254"/>
    </row>
    <row r="25" spans="2:12" x14ac:dyDescent="0.2">
      <c r="B25" s="252" t="s">
        <v>414</v>
      </c>
      <c r="C25" s="253"/>
      <c r="D25" s="254"/>
      <c r="F25" s="252" t="s">
        <v>414</v>
      </c>
      <c r="G25" s="253"/>
      <c r="H25" s="254"/>
      <c r="J25" s="252" t="s">
        <v>414</v>
      </c>
      <c r="K25" s="253"/>
      <c r="L25" s="254"/>
    </row>
    <row r="26" spans="2:12" x14ac:dyDescent="0.2">
      <c r="B26" s="252" t="s">
        <v>415</v>
      </c>
      <c r="C26" s="253"/>
      <c r="D26" s="254"/>
      <c r="F26" s="252" t="s">
        <v>415</v>
      </c>
      <c r="G26" s="253"/>
      <c r="H26" s="254"/>
      <c r="J26" s="252" t="s">
        <v>415</v>
      </c>
      <c r="K26" s="253"/>
      <c r="L26" s="254"/>
    </row>
  </sheetData>
  <sheetProtection algorithmName="SHA-512" hashValue="hIgb9n/VZIZ/51Gb4rT0+l+GGNSfK8mNTzgKy2pFnwcWVKLFh8CFM4FV7eHFBadABJEH8zfvZ4GFXeKTWCxB1w==" saltValue="AiyvGFzH0dXXUOYc9PkaPQ==" spinCount="100000" sheet="1" objects="1" scenarios="1"/>
  <mergeCells count="12">
    <mergeCell ref="C2:D2"/>
    <mergeCell ref="G2:H2"/>
    <mergeCell ref="K2:L2"/>
    <mergeCell ref="C3:D3"/>
    <mergeCell ref="G3:H3"/>
    <mergeCell ref="K3:L3"/>
    <mergeCell ref="C15:D15"/>
    <mergeCell ref="G15:H15"/>
    <mergeCell ref="K15:L15"/>
    <mergeCell ref="C16:D16"/>
    <mergeCell ref="G16:H16"/>
    <mergeCell ref="K16:L16"/>
  </mergeCells>
  <conditionalFormatting sqref="C5:D13">
    <cfRule type="expression" dxfId="92" priority="4">
      <formula>$B5=""</formula>
    </cfRule>
  </conditionalFormatting>
  <conditionalFormatting sqref="C18:D26">
    <cfRule type="expression" dxfId="91" priority="3">
      <formula>$B18=""</formula>
    </cfRule>
  </conditionalFormatting>
  <conditionalFormatting sqref="G5:H13">
    <cfRule type="expression" dxfId="90" priority="2">
      <formula>$B5=""</formula>
    </cfRule>
  </conditionalFormatting>
  <conditionalFormatting sqref="G18:H26">
    <cfRule type="expression" dxfId="89" priority="1">
      <formula>$B18=""</formula>
    </cfRule>
  </conditionalFormatting>
  <conditionalFormatting sqref="K5:L13">
    <cfRule type="expression" dxfId="88" priority="5">
      <formula>$J5=""</formula>
    </cfRule>
  </conditionalFormatting>
  <conditionalFormatting sqref="K18:L26">
    <cfRule type="expression" dxfId="87" priority="6">
      <formula>$J5=""</formula>
    </cfRule>
  </conditionalFormatting>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rgb="FFC0C0C0"/>
  </sheetPr>
  <dimension ref="B1:G33"/>
  <sheetViews>
    <sheetView showGridLines="0" showRowColHeaders="0" workbookViewId="0">
      <selection activeCell="B4" sqref="B4"/>
    </sheetView>
  </sheetViews>
  <sheetFormatPr defaultRowHeight="12.75" x14ac:dyDescent="0.2"/>
  <cols>
    <col min="1" max="1" width="1.7109375" style="150" customWidth="1"/>
    <col min="2" max="2" width="29.28515625" style="150" customWidth="1"/>
    <col min="3" max="7" width="17.85546875" style="150" customWidth="1"/>
    <col min="8" max="8" width="14.7109375" style="150" customWidth="1"/>
    <col min="9" max="16384" width="9.140625" style="150"/>
  </cols>
  <sheetData>
    <row r="1" spans="2:7" ht="64.5" customHeight="1" x14ac:dyDescent="0.2"/>
    <row r="2" spans="2:7" ht="21" customHeight="1" x14ac:dyDescent="0.2">
      <c r="B2" s="321" t="s">
        <v>482</v>
      </c>
      <c r="C2" s="321"/>
      <c r="D2" s="321"/>
      <c r="E2" s="321"/>
      <c r="F2" s="184"/>
      <c r="G2" s="184"/>
    </row>
    <row r="3" spans="2:7" ht="12.75" customHeight="1" x14ac:dyDescent="0.2"/>
    <row r="4" spans="2:7" ht="12.75" customHeight="1" x14ac:dyDescent="0.2"/>
    <row r="5" spans="2:7" ht="12.75" customHeight="1" x14ac:dyDescent="0.2"/>
    <row r="8" spans="2:7" ht="12.75" customHeight="1" x14ac:dyDescent="0.2">
      <c r="B8" s="334" t="s">
        <v>398</v>
      </c>
      <c r="C8" s="334"/>
      <c r="D8" s="334"/>
      <c r="E8" s="334"/>
      <c r="F8" s="334"/>
      <c r="G8" s="334"/>
    </row>
    <row r="9" spans="2:7" x14ac:dyDescent="0.2">
      <c r="B9" s="334"/>
      <c r="C9" s="334"/>
      <c r="D9" s="334"/>
      <c r="E9" s="334"/>
      <c r="F9" s="334"/>
      <c r="G9" s="334"/>
    </row>
    <row r="11" spans="2:7" ht="28.5" customHeight="1" x14ac:dyDescent="0.2">
      <c r="B11" s="333" t="s">
        <v>27</v>
      </c>
      <c r="C11" s="187" t="s">
        <v>382</v>
      </c>
      <c r="D11" s="187" t="s">
        <v>383</v>
      </c>
      <c r="E11" s="187" t="s">
        <v>384</v>
      </c>
      <c r="F11" s="187" t="s">
        <v>385</v>
      </c>
    </row>
    <row r="12" spans="2:7" ht="28.5" customHeight="1" x14ac:dyDescent="0.2">
      <c r="B12" s="333"/>
      <c r="C12" s="219">
        <f>Table15[[#Totals],[Gross project cost]]</f>
        <v>0</v>
      </c>
      <c r="D12" s="219" t="e">
        <f>Table15[[#Totals],[Estimated incentive]]</f>
        <v>#DIV/0!</v>
      </c>
      <c r="E12" s="219" t="e">
        <f>Table15[[#Totals],[Net project cost]]</f>
        <v>#DIV/0!</v>
      </c>
      <c r="F12" s="220">
        <f>Table16[[#Totals],[Energy savings (kWh)]]</f>
        <v>0</v>
      </c>
    </row>
    <row r="14" spans="2:7" ht="15.75" x14ac:dyDescent="0.25">
      <c r="B14" s="338" t="s">
        <v>386</v>
      </c>
      <c r="C14" s="339"/>
      <c r="D14" s="339"/>
      <c r="E14" s="339"/>
      <c r="F14" s="339"/>
    </row>
    <row r="15" spans="2:7" ht="12.75" customHeight="1" x14ac:dyDescent="0.2">
      <c r="B15" s="191" t="s">
        <v>19</v>
      </c>
      <c r="C15" s="340" t="str">
        <f>_xlfn.CONCAT(Application!C$6, ", ",Application!$C$5, ", ",Application!$C$11, ", ",Application!$C$12)</f>
        <v xml:space="preserve">, , , </v>
      </c>
      <c r="D15" s="340"/>
      <c r="E15" s="340"/>
      <c r="F15" s="340"/>
    </row>
    <row r="16" spans="2:7" ht="25.5" customHeight="1" x14ac:dyDescent="0.2">
      <c r="B16" s="191" t="s">
        <v>387</v>
      </c>
      <c r="C16" s="340" t="str">
        <f>_xlfn.CONCAT(Application!$C$18, ", ",Application!$C$17, ", ",Application!$C$23, ", ",Application!$C$24)</f>
        <v xml:space="preserve">, , , </v>
      </c>
      <c r="D16" s="340"/>
      <c r="E16" s="340"/>
      <c r="F16" s="340"/>
    </row>
    <row r="17" spans="2:7" ht="12.75" customHeight="1" x14ac:dyDescent="0.2">
      <c r="B17" s="191" t="s">
        <v>388</v>
      </c>
      <c r="C17" s="340" t="str">
        <f>_xlfn.CONCAT(Application!$C$28, ", ",Application!$C$27, ", ",Application!$C$33, ", ",Application!$C$34)</f>
        <v xml:space="preserve">, , , </v>
      </c>
      <c r="D17" s="340"/>
      <c r="E17" s="340"/>
      <c r="F17" s="340"/>
    </row>
    <row r="19" spans="2:7" ht="15.75" x14ac:dyDescent="0.25">
      <c r="B19" s="336" t="s">
        <v>389</v>
      </c>
      <c r="C19" s="337"/>
      <c r="D19" s="337"/>
    </row>
    <row r="20" spans="2:7" ht="25.5" x14ac:dyDescent="0.2">
      <c r="B20" s="187" t="s">
        <v>390</v>
      </c>
      <c r="C20" s="187" t="s">
        <v>372</v>
      </c>
      <c r="D20" s="187" t="s">
        <v>391</v>
      </c>
    </row>
    <row r="21" spans="2:7" x14ac:dyDescent="0.2">
      <c r="B21" s="192" t="str">
        <f>Caps!B3</f>
        <v>Prescriptive HVAC Tune-Up</v>
      </c>
      <c r="C21" s="220">
        <f>Caps!D3</f>
        <v>0</v>
      </c>
      <c r="D21" s="221">
        <f>Caps!E3</f>
        <v>0</v>
      </c>
    </row>
    <row r="22" spans="2:7" x14ac:dyDescent="0.2">
      <c r="B22" s="192" t="str">
        <f>Caps!B4</f>
        <v>Prescriptive Chiller Tune-Up</v>
      </c>
      <c r="C22" s="220">
        <f>Caps!D4</f>
        <v>0</v>
      </c>
      <c r="D22" s="221">
        <f>Caps!E4</f>
        <v>0</v>
      </c>
    </row>
    <row r="23" spans="2:7" x14ac:dyDescent="0.2">
      <c r="B23" s="193" t="s">
        <v>29</v>
      </c>
      <c r="C23" s="222">
        <f>SUBTOTAL(109,Table16[Energy savings (kWh)])</f>
        <v>0</v>
      </c>
      <c r="D23" s="223">
        <f>SUBTOTAL(109,Table16[kW reduction])</f>
        <v>0</v>
      </c>
    </row>
    <row r="25" spans="2:7" ht="15.75" x14ac:dyDescent="0.25">
      <c r="B25" s="335" t="s">
        <v>392</v>
      </c>
      <c r="C25" s="335"/>
      <c r="D25" s="335"/>
      <c r="E25" s="335"/>
      <c r="F25" s="335"/>
      <c r="G25" s="335"/>
    </row>
    <row r="26" spans="2:7" ht="25.5" x14ac:dyDescent="0.2">
      <c r="B26" s="187" t="s">
        <v>390</v>
      </c>
      <c r="C26" s="187" t="s">
        <v>374</v>
      </c>
      <c r="D26" s="187" t="s">
        <v>393</v>
      </c>
      <c r="E26" s="187" t="s">
        <v>371</v>
      </c>
      <c r="F26" s="187" t="s">
        <v>384</v>
      </c>
      <c r="G26" s="187" t="s">
        <v>377</v>
      </c>
    </row>
    <row r="27" spans="2:7" x14ac:dyDescent="0.2">
      <c r="B27" s="192" t="str">
        <f>Caps!B3</f>
        <v>Prescriptive HVAC Tune-Up</v>
      </c>
      <c r="C27" s="224">
        <f>INDEX(Table_Measure_Caps[Cost Savings Total], MATCH(Table15[[#This Row],[Incentive type]],Table_Measure_Caps[Measure Type], 0))</f>
        <v>0</v>
      </c>
      <c r="D27" s="224">
        <f>INDEX(Table_Measure_Caps[Gross Measure Cost Total], MATCH(Table15[[#This Row],[Incentive type]],Table_Measure_Caps[Measure Type], 0))</f>
        <v>0</v>
      </c>
      <c r="E27" s="224" t="e">
        <f>Caps!J3</f>
        <v>#DIV/0!</v>
      </c>
      <c r="F27" s="224" t="e">
        <f>Table15[[#This Row],[Gross project cost]]-Table15[[#This Row],[Estimated incentive]]</f>
        <v>#DIV/0!</v>
      </c>
      <c r="G27" s="225" t="str">
        <f>IFERROR(Table15[[#This Row],[Net project cost]]/Table15[[#This Row],[Cost savings]],"")</f>
        <v/>
      </c>
    </row>
    <row r="28" spans="2:7" x14ac:dyDescent="0.2">
      <c r="B28" s="192" t="str">
        <f>Caps!B4</f>
        <v>Prescriptive Chiller Tune-Up</v>
      </c>
      <c r="C28" s="224">
        <f>INDEX(Table_Measure_Caps[Cost Savings Total], MATCH(Table15[[#This Row],[Incentive type]],Table_Measure_Caps[Measure Type], 0))</f>
        <v>0</v>
      </c>
      <c r="D28" s="224">
        <f>INDEX(Table_Measure_Caps[Gross Measure Cost Total], MATCH(Table15[[#This Row],[Incentive type]],Table_Measure_Caps[Measure Type], 0))</f>
        <v>0</v>
      </c>
      <c r="E28" s="224" t="e">
        <f>Caps!J4</f>
        <v>#DIV/0!</v>
      </c>
      <c r="F28" s="224" t="e">
        <f>Table15[[#This Row],[Gross project cost]]-Table15[[#This Row],[Estimated incentive]]</f>
        <v>#DIV/0!</v>
      </c>
      <c r="G28" s="225" t="str">
        <f>IFERROR(Table15[[#This Row],[Net project cost]]/Table15[[#This Row],[Cost savings]],"")</f>
        <v/>
      </c>
    </row>
    <row r="29" spans="2:7" ht="12.75" customHeight="1" x14ac:dyDescent="0.2">
      <c r="B29" s="194"/>
      <c r="C29" s="194"/>
      <c r="D29" s="194"/>
      <c r="E29" s="194"/>
      <c r="F29" s="194"/>
      <c r="G29" s="194"/>
    </row>
    <row r="30" spans="2:7" x14ac:dyDescent="0.2">
      <c r="B30" s="193" t="s">
        <v>29</v>
      </c>
      <c r="C30" s="226">
        <f>SUBTOTAL(109,Table15[Cost savings])</f>
        <v>0</v>
      </c>
      <c r="D30" s="226">
        <f>SUBTOTAL(109,Table15[Gross project cost])</f>
        <v>0</v>
      </c>
      <c r="E30" s="226" t="e">
        <f>MIN(Value_Measure_CAP,SUBTOTAL(109,Table15[Estimated incentive]))</f>
        <v>#DIV/0!</v>
      </c>
      <c r="F30" s="226" t="e">
        <f>SUBTOTAL(109,Table15[Net project cost])</f>
        <v>#DIV/0!</v>
      </c>
      <c r="G30" s="227" t="e">
        <f>Table15[[#Totals],[Net project cost]]/Table15[[#Totals],[Cost savings]]</f>
        <v>#DIV/0!</v>
      </c>
    </row>
    <row r="32" spans="2:7" x14ac:dyDescent="0.2">
      <c r="B32" s="150" t="s">
        <v>401</v>
      </c>
    </row>
    <row r="33" spans="2:2" x14ac:dyDescent="0.2">
      <c r="B33" s="150" t="str">
        <f>Value_Application_Version</f>
        <v>Version 4.0</v>
      </c>
    </row>
  </sheetData>
  <sheetProtection algorithmName="SHA-512" hashValue="qIfSs8oq9VD7LWjbri3oiN2kBLuwmhqCYyD6pFbbzRgsY+sKOFcqtXclprcyMOI8bwQMeO2v1CEKU1cbUbvGew==" saltValue="e+7vTsr7xTnS0naPFr4ofA==" spinCount="100000" sheet="1" objects="1" scenarios="1"/>
  <mergeCells count="9">
    <mergeCell ref="B11:B12"/>
    <mergeCell ref="B8:G9"/>
    <mergeCell ref="B25:G25"/>
    <mergeCell ref="B2:E2"/>
    <mergeCell ref="B19:D19"/>
    <mergeCell ref="B14:F14"/>
    <mergeCell ref="C15:F15"/>
    <mergeCell ref="C16:F16"/>
    <mergeCell ref="C17:F17"/>
  </mergeCells>
  <pageMargins left="0.25" right="0.25" top="0.75" bottom="0.75" header="0.3" footer="0.3"/>
  <pageSetup orientation="portrait" r:id="rId1"/>
  <ignoredErrors>
    <ignoredError sqref="C28:E28" calculatedColumn="1"/>
  </ignoredErrors>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1A58"/>
  </sheetPr>
  <dimension ref="B1:G55"/>
  <sheetViews>
    <sheetView showGridLines="0" showRowColHeaders="0" workbookViewId="0">
      <selection activeCell="B4" sqref="B4:G5"/>
    </sheetView>
  </sheetViews>
  <sheetFormatPr defaultRowHeight="12.75" x14ac:dyDescent="0.2"/>
  <cols>
    <col min="1" max="1" width="1.7109375" style="150" customWidth="1"/>
    <col min="2" max="2" width="18.85546875" style="150" customWidth="1"/>
    <col min="3" max="7" width="17.85546875" style="150" customWidth="1"/>
    <col min="8" max="8" width="14.7109375" style="150" customWidth="1"/>
    <col min="9" max="16384" width="9.140625" style="150"/>
  </cols>
  <sheetData>
    <row r="1" spans="2:7" ht="73.5" customHeight="1" x14ac:dyDescent="0.2"/>
    <row r="2" spans="2:7" ht="21" customHeight="1" x14ac:dyDescent="0.2">
      <c r="B2" s="321" t="s">
        <v>483</v>
      </c>
      <c r="C2" s="321"/>
      <c r="D2" s="321"/>
      <c r="E2" s="321"/>
      <c r="F2" s="184"/>
      <c r="G2" s="184"/>
    </row>
    <row r="3" spans="2:7" ht="12.75" customHeight="1" x14ac:dyDescent="0.2"/>
    <row r="4" spans="2:7" x14ac:dyDescent="0.2">
      <c r="B4" s="341" t="s">
        <v>31</v>
      </c>
      <c r="C4" s="341"/>
      <c r="D4" s="341"/>
      <c r="E4" s="341"/>
      <c r="F4" s="341"/>
      <c r="G4" s="341"/>
    </row>
    <row r="5" spans="2:7" x14ac:dyDescent="0.2">
      <c r="B5" s="341"/>
      <c r="C5" s="341"/>
      <c r="D5" s="341"/>
      <c r="E5" s="341"/>
      <c r="F5" s="341"/>
      <c r="G5" s="341"/>
    </row>
    <row r="6" spans="2:7" x14ac:dyDescent="0.2">
      <c r="B6" s="186"/>
      <c r="C6" s="186"/>
      <c r="D6" s="186"/>
      <c r="E6" s="186"/>
      <c r="F6" s="186"/>
      <c r="G6" s="186"/>
    </row>
    <row r="7" spans="2:7" ht="26.25" customHeight="1" x14ac:dyDescent="0.2">
      <c r="B7" s="343" t="s">
        <v>399</v>
      </c>
      <c r="C7" s="344"/>
      <c r="D7" s="344"/>
      <c r="E7" s="344"/>
      <c r="F7" s="344"/>
      <c r="G7" s="344"/>
    </row>
    <row r="9" spans="2:7" ht="28.5" customHeight="1" x14ac:dyDescent="0.2">
      <c r="B9" s="333" t="s">
        <v>394</v>
      </c>
      <c r="C9" s="187" t="s">
        <v>382</v>
      </c>
      <c r="D9" s="187" t="s">
        <v>383</v>
      </c>
      <c r="E9" s="187" t="s">
        <v>384</v>
      </c>
      <c r="F9" s="187" t="s">
        <v>385</v>
      </c>
    </row>
    <row r="10" spans="2:7" ht="19.5" customHeight="1" x14ac:dyDescent="0.2">
      <c r="B10" s="333"/>
      <c r="C10" s="219">
        <f>Gross_Proj_Cost</f>
        <v>0</v>
      </c>
      <c r="D10" s="219" t="e">
        <f>Total_Incentive</f>
        <v>#DIV/0!</v>
      </c>
      <c r="E10" s="219" t="e">
        <f>Net_Project_Cost</f>
        <v>#DIV/0!</v>
      </c>
      <c r="F10" s="228">
        <f>Project_Energy_Savings</f>
        <v>0</v>
      </c>
    </row>
    <row r="12" spans="2:7" ht="15.75" x14ac:dyDescent="0.25">
      <c r="B12" s="342" t="str">
        <f>Application!B4</f>
        <v>Entergy Louisiana customer information</v>
      </c>
      <c r="C12" s="342"/>
      <c r="D12" s="342"/>
      <c r="E12" s="342"/>
      <c r="F12" s="342"/>
    </row>
    <row r="13" spans="2:7" x14ac:dyDescent="0.2">
      <c r="B13" s="345" t="s">
        <v>314</v>
      </c>
      <c r="C13" s="345"/>
      <c r="D13" s="346">
        <f>Application!C5</f>
        <v>0</v>
      </c>
      <c r="E13" s="346"/>
      <c r="F13" s="346"/>
    </row>
    <row r="14" spans="2:7" x14ac:dyDescent="0.2">
      <c r="B14" s="345" t="s">
        <v>315</v>
      </c>
      <c r="C14" s="345"/>
      <c r="D14" s="346">
        <f>Application!C6</f>
        <v>0</v>
      </c>
      <c r="E14" s="346"/>
      <c r="F14" s="346"/>
    </row>
    <row r="15" spans="2:7" ht="12.75" customHeight="1" x14ac:dyDescent="0.2">
      <c r="B15" s="345" t="s">
        <v>7</v>
      </c>
      <c r="C15" s="345"/>
      <c r="D15" s="346" t="str">
        <f>_xlfn.CONCAT(Application!C7,", ",Application!C8,", ",Application!C9,", ",Application!C10)</f>
        <v xml:space="preserve">, , , </v>
      </c>
      <c r="E15" s="346"/>
      <c r="F15" s="346"/>
    </row>
    <row r="16" spans="2:7" x14ac:dyDescent="0.2">
      <c r="B16" s="345" t="s">
        <v>320</v>
      </c>
      <c r="C16" s="345"/>
      <c r="D16" s="346">
        <f>Application!C13</f>
        <v>0</v>
      </c>
      <c r="E16" s="346"/>
      <c r="F16" s="346"/>
    </row>
    <row r="18" spans="2:6" ht="15.75" customHeight="1" x14ac:dyDescent="0.2">
      <c r="B18" s="322" t="s">
        <v>322</v>
      </c>
      <c r="C18" s="322"/>
      <c r="D18" s="322"/>
      <c r="E18" s="322"/>
      <c r="F18" s="322"/>
    </row>
    <row r="19" spans="2:6" x14ac:dyDescent="0.2">
      <c r="B19" s="345" t="s">
        <v>323</v>
      </c>
      <c r="C19" s="345"/>
      <c r="D19" s="346">
        <f>Application!C17</f>
        <v>0</v>
      </c>
      <c r="E19" s="346"/>
      <c r="F19" s="346"/>
    </row>
    <row r="20" spans="2:6" x14ac:dyDescent="0.2">
      <c r="B20" s="345" t="s">
        <v>324</v>
      </c>
      <c r="C20" s="345"/>
      <c r="D20" s="346">
        <f>Application!C18</f>
        <v>0</v>
      </c>
      <c r="E20" s="346"/>
      <c r="F20" s="346"/>
    </row>
    <row r="21" spans="2:6" ht="12.75" customHeight="1" x14ac:dyDescent="0.2">
      <c r="B21" s="345" t="s">
        <v>7</v>
      </c>
      <c r="C21" s="345"/>
      <c r="D21" s="346" t="str">
        <f>_xlfn.CONCAT(Application!C19,", ",Application!C20,", ",Application!C21,", ",Application!C22)</f>
        <v xml:space="preserve">, , , </v>
      </c>
      <c r="E21" s="346"/>
      <c r="F21" s="346"/>
    </row>
    <row r="22" spans="2:6" x14ac:dyDescent="0.2">
      <c r="B22" s="345" t="s">
        <v>326</v>
      </c>
      <c r="C22" s="345"/>
      <c r="D22" s="346">
        <f>Application!C25</f>
        <v>0</v>
      </c>
      <c r="E22" s="346"/>
      <c r="F22" s="346"/>
    </row>
    <row r="24" spans="2:6" ht="15.75" customHeight="1" x14ac:dyDescent="0.2">
      <c r="B24" s="322" t="s">
        <v>334</v>
      </c>
      <c r="C24" s="322"/>
      <c r="D24" s="322"/>
      <c r="E24" s="322"/>
      <c r="F24" s="322"/>
    </row>
    <row r="25" spans="2:6" x14ac:dyDescent="0.2">
      <c r="B25" s="345" t="s">
        <v>396</v>
      </c>
      <c r="C25" s="345"/>
      <c r="D25" s="346">
        <f>Application!F33</f>
        <v>0</v>
      </c>
      <c r="E25" s="346"/>
      <c r="F25" s="346"/>
    </row>
    <row r="26" spans="2:6" x14ac:dyDescent="0.2">
      <c r="B26" s="345" t="s">
        <v>32</v>
      </c>
      <c r="C26" s="345"/>
      <c r="D26" s="346">
        <f>Application!F34</f>
        <v>0</v>
      </c>
      <c r="E26" s="346"/>
      <c r="F26" s="346"/>
    </row>
    <row r="27" spans="2:6" x14ac:dyDescent="0.2">
      <c r="B27" s="345" t="s">
        <v>7</v>
      </c>
      <c r="C27" s="345"/>
      <c r="D27" s="346" t="str">
        <f>IF(D25="Customer",D15,IF(D25="Trade Ally/Contractor",D21,IF(D25="Additional Contact",_xlfn.CONCAT(Application!C29,", ",Application!C30,", ",Application!C31,", ",Application!C32),IF(D25="Job Site",_xlfn.CONCAT(Application!F17,", ",Application!F18,", ",Application!F19,", ",Application!F20),""))))</f>
        <v/>
      </c>
      <c r="E27" s="346"/>
      <c r="F27" s="346"/>
    </row>
    <row r="28" spans="2:6" x14ac:dyDescent="0.2">
      <c r="B28" s="345" t="s">
        <v>17</v>
      </c>
      <c r="C28" s="345"/>
      <c r="D28" s="346">
        <f>Application!F35</f>
        <v>0</v>
      </c>
      <c r="E28" s="346"/>
      <c r="F28" s="346"/>
    </row>
    <row r="29" spans="2:6" x14ac:dyDescent="0.2">
      <c r="B29" s="345" t="s">
        <v>18</v>
      </c>
      <c r="C29" s="345"/>
      <c r="D29" s="346">
        <f>Application!F36</f>
        <v>0</v>
      </c>
      <c r="E29" s="346"/>
      <c r="F29" s="346"/>
    </row>
    <row r="30" spans="2:6" x14ac:dyDescent="0.2">
      <c r="B30" s="345" t="s">
        <v>20</v>
      </c>
      <c r="C30" s="345"/>
      <c r="D30" s="346">
        <f>Application!F37</f>
        <v>0</v>
      </c>
      <c r="E30" s="346"/>
      <c r="F30" s="346"/>
    </row>
    <row r="32" spans="2:6" ht="12.75" customHeight="1" x14ac:dyDescent="0.2">
      <c r="B32" s="348" t="s">
        <v>395</v>
      </c>
      <c r="C32" s="348"/>
      <c r="D32" s="349"/>
    </row>
    <row r="33" spans="2:7" x14ac:dyDescent="0.2">
      <c r="B33" s="348"/>
      <c r="C33" s="348"/>
      <c r="D33" s="349"/>
    </row>
    <row r="35" spans="2:7" ht="11.25" customHeight="1" x14ac:dyDescent="0.2">
      <c r="B35" s="297" t="s">
        <v>33</v>
      </c>
      <c r="C35" s="297"/>
      <c r="D35" s="297"/>
      <c r="E35" s="297"/>
      <c r="F35" s="297"/>
      <c r="G35" s="297"/>
    </row>
    <row r="36" spans="2:7" x14ac:dyDescent="0.2">
      <c r="B36" s="297"/>
      <c r="C36" s="297"/>
      <c r="D36" s="297"/>
      <c r="E36" s="297"/>
      <c r="F36" s="297"/>
      <c r="G36" s="297"/>
    </row>
    <row r="37" spans="2:7" x14ac:dyDescent="0.2">
      <c r="B37" s="297"/>
      <c r="C37" s="297"/>
      <c r="D37" s="297"/>
      <c r="E37" s="297"/>
      <c r="F37" s="297"/>
      <c r="G37" s="297"/>
    </row>
    <row r="38" spans="2:7" x14ac:dyDescent="0.2">
      <c r="B38" s="297"/>
      <c r="C38" s="297"/>
      <c r="D38" s="297"/>
      <c r="E38" s="297"/>
      <c r="F38" s="297"/>
      <c r="G38" s="297"/>
    </row>
    <row r="39" spans="2:7" x14ac:dyDescent="0.2">
      <c r="B39" s="297"/>
      <c r="C39" s="297"/>
      <c r="D39" s="297"/>
      <c r="E39" s="297"/>
      <c r="F39" s="297"/>
      <c r="G39" s="297"/>
    </row>
    <row r="40" spans="2:7" x14ac:dyDescent="0.2">
      <c r="B40" s="188" t="s">
        <v>357</v>
      </c>
      <c r="C40" s="188"/>
      <c r="F40" s="188" t="s">
        <v>30</v>
      </c>
      <c r="G40" s="185"/>
    </row>
    <row r="41" spans="2:7" x14ac:dyDescent="0.2">
      <c r="B41" s="347"/>
      <c r="C41" s="347"/>
      <c r="D41" s="347"/>
      <c r="F41" s="229"/>
      <c r="G41" s="185"/>
    </row>
    <row r="42" spans="2:7" x14ac:dyDescent="0.2">
      <c r="B42" s="185"/>
      <c r="C42" s="185"/>
      <c r="D42" s="185"/>
      <c r="E42" s="185"/>
      <c r="F42" s="185"/>
      <c r="G42" s="185"/>
    </row>
    <row r="43" spans="2:7" x14ac:dyDescent="0.2">
      <c r="B43" s="150" t="s">
        <v>401</v>
      </c>
    </row>
    <row r="44" spans="2:7" x14ac:dyDescent="0.2">
      <c r="B44" s="150" t="str">
        <f>Value_Application_Version</f>
        <v>Version 4.0</v>
      </c>
    </row>
    <row r="46" spans="2:7" x14ac:dyDescent="0.2">
      <c r="C46" s="189"/>
    </row>
    <row r="48" spans="2:7" x14ac:dyDescent="0.2">
      <c r="C48" s="190"/>
    </row>
    <row r="51" spans="4:5" x14ac:dyDescent="0.2">
      <c r="D51" s="189"/>
      <c r="E51" s="189"/>
    </row>
    <row r="54" spans="4:5" x14ac:dyDescent="0.2">
      <c r="D54" s="189"/>
    </row>
    <row r="55" spans="4:5" x14ac:dyDescent="0.2">
      <c r="D55" s="189"/>
    </row>
  </sheetData>
  <sheetProtection algorithmName="SHA-512" hashValue="DRWmDUroxqZ1GQiiH9fBnhOlP2sI3dnwpR76W4GytAeY+ZJQTKWZwMyHkS/PhSs7runtYLziQPWnuEOtu8wBEQ==" saltValue="e8BywOkpJdgP4DpbulObnQ==" spinCount="100000" sheet="1" objects="1" scenarios="1"/>
  <mergeCells count="39">
    <mergeCell ref="B32:C33"/>
    <mergeCell ref="D32:D33"/>
    <mergeCell ref="D25:F25"/>
    <mergeCell ref="D27:F27"/>
    <mergeCell ref="D28:F28"/>
    <mergeCell ref="D29:F29"/>
    <mergeCell ref="D30:F30"/>
    <mergeCell ref="B26:C26"/>
    <mergeCell ref="B24:F24"/>
    <mergeCell ref="D26:F26"/>
    <mergeCell ref="B41:D41"/>
    <mergeCell ref="D13:F13"/>
    <mergeCell ref="D14:F14"/>
    <mergeCell ref="D15:F15"/>
    <mergeCell ref="D16:F16"/>
    <mergeCell ref="D19:F19"/>
    <mergeCell ref="D20:F20"/>
    <mergeCell ref="B28:C28"/>
    <mergeCell ref="B29:C29"/>
    <mergeCell ref="B30:C30"/>
    <mergeCell ref="B35:G39"/>
    <mergeCell ref="B25:C25"/>
    <mergeCell ref="B27:C27"/>
    <mergeCell ref="B22:C22"/>
    <mergeCell ref="B19:C19"/>
    <mergeCell ref="B20:C20"/>
    <mergeCell ref="B21:C21"/>
    <mergeCell ref="D21:F21"/>
    <mergeCell ref="D22:F22"/>
    <mergeCell ref="B18:F18"/>
    <mergeCell ref="B16:C16"/>
    <mergeCell ref="B13:C13"/>
    <mergeCell ref="B14:C14"/>
    <mergeCell ref="B15:C15"/>
    <mergeCell ref="B2:E2"/>
    <mergeCell ref="B4:G5"/>
    <mergeCell ref="B9:B10"/>
    <mergeCell ref="B12:F12"/>
    <mergeCell ref="B7:G7"/>
  </mergeCells>
  <pageMargins left="0.25" right="0.25"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BA255"/>
  <sheetViews>
    <sheetView zoomScale="90" zoomScaleNormal="90" workbookViewId="0">
      <selection activeCell="P4" sqref="P4"/>
    </sheetView>
  </sheetViews>
  <sheetFormatPr defaultRowHeight="12.75" x14ac:dyDescent="0.2"/>
  <cols>
    <col min="1" max="1" width="26.28515625" bestFit="1" customWidth="1"/>
    <col min="2" max="2" width="14.28515625" bestFit="1" customWidth="1"/>
    <col min="3" max="3" width="2.85546875" customWidth="1"/>
    <col min="5" max="5" width="16.85546875" bestFit="1" customWidth="1"/>
    <col min="6" max="6" width="17.42578125" bestFit="1" customWidth="1"/>
    <col min="7" max="7" width="64" customWidth="1"/>
    <col min="8" max="8" width="19.5703125" bestFit="1" customWidth="1"/>
    <col min="9" max="9" width="22" bestFit="1" customWidth="1"/>
    <col min="10" max="11" width="22" style="121" customWidth="1"/>
    <col min="12" max="12" width="14.140625" style="121" customWidth="1"/>
    <col min="13" max="13" width="23.42578125" bestFit="1" customWidth="1"/>
    <col min="14" max="14" width="67" bestFit="1" customWidth="1"/>
    <col min="15" max="15" width="20.28515625" bestFit="1" customWidth="1"/>
    <col min="16" max="16" width="14.85546875" bestFit="1" customWidth="1"/>
    <col min="17" max="17" width="17.85546875" bestFit="1" customWidth="1"/>
    <col min="18" max="18" width="17.85546875" customWidth="1"/>
    <col min="19" max="19" width="21.42578125" bestFit="1" customWidth="1"/>
    <col min="20" max="20" width="63.28515625" bestFit="1" customWidth="1"/>
    <col min="21" max="21" width="17" customWidth="1"/>
    <col min="22" max="22" width="44.5703125" bestFit="1" customWidth="1"/>
    <col min="23" max="23" width="19.85546875" customWidth="1"/>
    <col min="24" max="24" width="18.85546875" customWidth="1"/>
    <col min="25" max="25" width="2" customWidth="1"/>
    <col min="26" max="26" width="64.5703125" bestFit="1" customWidth="1"/>
    <col min="27" max="27" width="21.5703125" bestFit="1" customWidth="1"/>
    <col min="29" max="29" width="25.7109375" bestFit="1" customWidth="1"/>
    <col min="30" max="30" width="25.7109375" customWidth="1"/>
    <col min="31" max="31" width="9.7109375" bestFit="1" customWidth="1"/>
    <col min="32" max="32" width="7.7109375" bestFit="1" customWidth="1"/>
    <col min="33" max="33" width="46.28515625" bestFit="1" customWidth="1"/>
    <col min="34" max="34" width="15.42578125" bestFit="1" customWidth="1"/>
    <col min="35" max="35" width="15.140625" bestFit="1" customWidth="1"/>
    <col min="36" max="36" width="13.28515625" bestFit="1" customWidth="1"/>
    <col min="37" max="37" width="36.42578125" bestFit="1" customWidth="1"/>
    <col min="38" max="38" width="26.85546875" bestFit="1" customWidth="1"/>
    <col min="39" max="39" width="16.5703125" bestFit="1" customWidth="1"/>
    <col min="40" max="40" width="30.140625" bestFit="1" customWidth="1"/>
    <col min="41" max="41" width="16.85546875" bestFit="1" customWidth="1"/>
    <col min="43" max="43" width="62.140625" bestFit="1" customWidth="1"/>
    <col min="44" max="44" width="44.7109375" bestFit="1" customWidth="1"/>
    <col min="45" max="45" width="43" bestFit="1" customWidth="1"/>
    <col min="46" max="46" width="39.28515625" bestFit="1" customWidth="1"/>
    <col min="47" max="47" width="39.28515625" style="121" customWidth="1"/>
    <col min="48" max="48" width="38.85546875" bestFit="1" customWidth="1"/>
    <col min="49" max="49" width="19.85546875" bestFit="1" customWidth="1"/>
    <col min="50" max="50" width="22" style="121" bestFit="1" customWidth="1"/>
    <col min="51" max="51" width="15.5703125" bestFit="1" customWidth="1"/>
    <col min="52" max="52" width="51" bestFit="1" customWidth="1"/>
    <col min="53" max="53" width="26.7109375" bestFit="1" customWidth="1"/>
  </cols>
  <sheetData>
    <row r="1" spans="1:53" ht="13.5" thickBot="1" x14ac:dyDescent="0.25"/>
    <row r="2" spans="1:53" ht="40.5" customHeight="1" thickTop="1" thickBot="1" x14ac:dyDescent="0.3">
      <c r="A2" s="41" t="s">
        <v>34</v>
      </c>
      <c r="D2" s="380" t="s">
        <v>35</v>
      </c>
      <c r="E2" s="381"/>
      <c r="F2" s="381"/>
      <c r="G2" s="382"/>
      <c r="R2" s="42"/>
      <c r="Z2" s="42" t="s">
        <v>36</v>
      </c>
    </row>
    <row r="3" spans="1:53" s="6" customFormat="1" ht="16.5" thickTop="1" thickBot="1" x14ac:dyDescent="0.25">
      <c r="A3" s="42" t="s">
        <v>37</v>
      </c>
      <c r="B3" s="46">
        <v>500000</v>
      </c>
      <c r="D3" s="6" t="s">
        <v>38</v>
      </c>
      <c r="E3" s="6" t="s">
        <v>39</v>
      </c>
      <c r="F3" t="s">
        <v>24</v>
      </c>
      <c r="G3" t="s">
        <v>40</v>
      </c>
      <c r="H3" t="s">
        <v>496</v>
      </c>
      <c r="I3" t="s">
        <v>492</v>
      </c>
      <c r="J3" s="121" t="s">
        <v>493</v>
      </c>
      <c r="K3" s="121" t="s">
        <v>497</v>
      </c>
      <c r="L3" s="121" t="s">
        <v>416</v>
      </c>
      <c r="M3" t="s">
        <v>41</v>
      </c>
      <c r="N3" t="s">
        <v>42</v>
      </c>
      <c r="O3" t="s">
        <v>43</v>
      </c>
      <c r="P3" t="s">
        <v>499</v>
      </c>
      <c r="Q3" s="6" t="s">
        <v>500</v>
      </c>
      <c r="T3" s="383" t="s">
        <v>476</v>
      </c>
      <c r="U3" s="383"/>
      <c r="V3" s="383"/>
      <c r="Z3" s="42" t="s">
        <v>44</v>
      </c>
      <c r="AA3" t="s">
        <v>45</v>
      </c>
      <c r="AB3"/>
      <c r="AC3" s="43" t="s">
        <v>46</v>
      </c>
      <c r="AD3" s="43" t="s">
        <v>47</v>
      </c>
      <c r="AE3" s="43" t="s">
        <v>48</v>
      </c>
      <c r="AF3" s="43" t="s">
        <v>49</v>
      </c>
      <c r="AG3" s="43" t="s">
        <v>50</v>
      </c>
      <c r="AH3" s="43" t="s">
        <v>51</v>
      </c>
      <c r="AI3" s="43" t="s">
        <v>52</v>
      </c>
      <c r="AJ3" s="43" t="s">
        <v>53</v>
      </c>
      <c r="AK3" s="43" t="s">
        <v>54</v>
      </c>
      <c r="AL3" s="43" t="s">
        <v>55</v>
      </c>
      <c r="AM3" s="43" t="s">
        <v>56</v>
      </c>
      <c r="AN3" s="43" t="s">
        <v>57</v>
      </c>
      <c r="AO3" s="43" t="s">
        <v>58</v>
      </c>
      <c r="AP3"/>
      <c r="AQ3" s="43" t="s">
        <v>59</v>
      </c>
      <c r="AR3" s="43"/>
      <c r="AS3" s="43"/>
      <c r="AT3" s="43"/>
      <c r="AU3" s="43"/>
      <c r="AV3" s="43"/>
      <c r="AW3" s="43"/>
      <c r="AX3" s="43"/>
      <c r="AY3" s="43"/>
      <c r="AZ3" s="43"/>
      <c r="BA3" s="43"/>
    </row>
    <row r="4" spans="1:53" ht="16.5" thickTop="1" thickBot="1" x14ac:dyDescent="0.25">
      <c r="A4" s="42" t="s">
        <v>60</v>
      </c>
      <c r="B4" s="46">
        <f>IF(Input_ProgramType=Table_Programs_Rates[[#This Row],[List_Programs]],30000,100000)</f>
        <v>100000</v>
      </c>
      <c r="D4" s="121">
        <v>1</v>
      </c>
      <c r="E4" s="121" t="s">
        <v>61</v>
      </c>
      <c r="F4" s="98">
        <v>220330</v>
      </c>
      <c r="G4" s="121" t="s">
        <v>252</v>
      </c>
      <c r="H4" s="29">
        <v>89</v>
      </c>
      <c r="I4" s="29">
        <v>158</v>
      </c>
      <c r="J4" s="29">
        <v>35</v>
      </c>
      <c r="K4" s="29">
        <v>62</v>
      </c>
      <c r="L4" s="257">
        <f>(1.5+3.5)/2</f>
        <v>2.5</v>
      </c>
      <c r="M4" t="s">
        <v>270</v>
      </c>
      <c r="N4" s="289" t="e">
        <f>Table_Prescript_Meas[[#This Row],[Average Tons]]*VLOOKUP('A-C &amp; Heat Pumps'!$E$4,References!$S$5:$V$17,3,FALSE)</f>
        <v>#N/A</v>
      </c>
      <c r="O4" s="120" t="e">
        <f>Table_Prescript_Meas[[#This Row],[Average Tons]]*VLOOKUP('A-C &amp; Heat Pumps'!$E$4,References!$S$5:$V$17,4,FALSE)</f>
        <v>#N/A</v>
      </c>
      <c r="P4" s="29" t="e">
        <f>Table_Prescript_Meas[[#This Row],[Incentive - LC (RCA)]]/Table_Prescript_Meas[[#This Row],[Deemed kWh Savings]]</f>
        <v>#N/A</v>
      </c>
      <c r="Q4" s="29" t="e">
        <f>Table_Prescript_Meas[[#This Row],[Incentive - SC (RCA)]]/Table_Prescript_Meas[[#This Row],[Deemed kWh Savings]]</f>
        <v>#N/A</v>
      </c>
      <c r="T4" s="261" t="s">
        <v>12</v>
      </c>
      <c r="U4" s="262" t="s">
        <v>417</v>
      </c>
      <c r="V4" s="263" t="s">
        <v>418</v>
      </c>
      <c r="Z4" t="s">
        <v>62</v>
      </c>
      <c r="AA4" s="124">
        <v>0.16</v>
      </c>
      <c r="AC4" t="s">
        <v>63</v>
      </c>
      <c r="AD4" t="s">
        <v>64</v>
      </c>
      <c r="AE4" t="s">
        <v>65</v>
      </c>
      <c r="AF4" t="s">
        <v>65</v>
      </c>
      <c r="AG4" t="s">
        <v>9</v>
      </c>
      <c r="AH4" t="s">
        <v>4</v>
      </c>
      <c r="AI4" t="s">
        <v>66</v>
      </c>
      <c r="AJ4" t="s">
        <v>67</v>
      </c>
      <c r="AK4" t="s">
        <v>68</v>
      </c>
      <c r="AL4" t="s">
        <v>14</v>
      </c>
      <c r="AM4" t="s">
        <v>15</v>
      </c>
      <c r="AN4" t="s">
        <v>19</v>
      </c>
      <c r="AO4" t="s">
        <v>69</v>
      </c>
      <c r="AQ4" s="44" t="str">
        <f>Table_Prescript_Meas[[#This Row],[Measure Description]]</f>
        <v>A/C Tune-Up (1.5 to 3.5 Tons)</v>
      </c>
      <c r="AR4" s="44"/>
      <c r="AS4" s="44"/>
      <c r="AT4" s="44"/>
      <c r="AU4" s="44"/>
      <c r="AV4" s="44"/>
      <c r="AW4" s="44"/>
      <c r="AX4" s="44"/>
      <c r="AY4" s="44"/>
      <c r="AZ4" s="44"/>
      <c r="BA4" s="44"/>
    </row>
    <row r="5" spans="1:53" ht="16.5" thickTop="1" thickBot="1" x14ac:dyDescent="0.25">
      <c r="A5" s="42" t="s">
        <v>70</v>
      </c>
      <c r="B5" s="46">
        <v>5000</v>
      </c>
      <c r="D5" s="121">
        <v>2</v>
      </c>
      <c r="E5" s="121" t="s">
        <v>61</v>
      </c>
      <c r="F5" s="149">
        <v>220430</v>
      </c>
      <c r="G5" s="121" t="s">
        <v>253</v>
      </c>
      <c r="H5" s="29">
        <v>153</v>
      </c>
      <c r="I5" s="29">
        <v>272</v>
      </c>
      <c r="J5" s="29">
        <v>60</v>
      </c>
      <c r="K5" s="29">
        <v>106</v>
      </c>
      <c r="L5" s="257">
        <f>(3.6+5)/2</f>
        <v>4.3</v>
      </c>
      <c r="M5" s="121" t="s">
        <v>270</v>
      </c>
      <c r="N5" s="289" t="e">
        <f>Table_Prescript_Meas[[#This Row],[Average Tons]]*VLOOKUP('A-C &amp; Heat Pumps'!$E$4,References!$S$5:$V$17,3,FALSE)</f>
        <v>#N/A</v>
      </c>
      <c r="O5" s="120" t="e">
        <f>Table_Prescript_Meas[[#This Row],[Average Tons]]*VLOOKUP('A-C &amp; Heat Pumps'!$E$4,References!$S$5:$V$17,4,FALSE)</f>
        <v>#N/A</v>
      </c>
      <c r="P5" s="29" t="e">
        <f>Table_Prescript_Meas[[#This Row],[Incentive - LC (RCA)]]/Table_Prescript_Meas[[#This Row],[Deemed kWh Savings]]</f>
        <v>#N/A</v>
      </c>
      <c r="Q5" s="296" t="e">
        <f>Table_Prescript_Meas[[#This Row],[Incentive - SC (RCA)]]/Table_Prescript_Meas[[#This Row],[Deemed kWh Savings]]</f>
        <v>#N/A</v>
      </c>
      <c r="R5" s="98"/>
      <c r="S5" t="s">
        <v>292</v>
      </c>
      <c r="T5" s="264" t="s">
        <v>221</v>
      </c>
      <c r="U5" s="265">
        <v>457</v>
      </c>
      <c r="V5" s="266">
        <v>0.1502</v>
      </c>
      <c r="Z5" t="s">
        <v>3</v>
      </c>
      <c r="AA5" s="124">
        <v>0.09</v>
      </c>
      <c r="AC5" t="s">
        <v>71</v>
      </c>
      <c r="AD5" t="s">
        <v>72</v>
      </c>
      <c r="AE5" t="s">
        <v>9</v>
      </c>
      <c r="AF5" t="s">
        <v>9</v>
      </c>
      <c r="AG5" t="s">
        <v>73</v>
      </c>
      <c r="AH5" t="s">
        <v>74</v>
      </c>
      <c r="AI5" t="s">
        <v>75</v>
      </c>
      <c r="AJ5" t="s">
        <v>11</v>
      </c>
      <c r="AK5" t="s">
        <v>76</v>
      </c>
      <c r="AL5" t="s">
        <v>77</v>
      </c>
      <c r="AM5" t="s">
        <v>78</v>
      </c>
      <c r="AN5" t="s">
        <v>79</v>
      </c>
      <c r="AO5" t="s">
        <v>80</v>
      </c>
      <c r="AQ5" s="44" t="str">
        <f>Table_Prescript_Meas[[#This Row],[Measure Description]]</f>
        <v>A/C Tune-Up (3.6 to 5.0 Tons)</v>
      </c>
      <c r="AR5" s="44"/>
      <c r="AS5" s="44"/>
      <c r="AT5" s="44"/>
      <c r="AU5" s="44"/>
      <c r="AV5" s="44"/>
      <c r="AW5" s="44"/>
      <c r="AX5" s="44"/>
      <c r="AY5" s="44"/>
      <c r="AZ5" s="44"/>
      <c r="BA5" s="44"/>
    </row>
    <row r="6" spans="1:53" ht="16.5" thickTop="1" thickBot="1" x14ac:dyDescent="0.25">
      <c r="A6" s="42" t="s">
        <v>81</v>
      </c>
      <c r="B6" s="123" t="e">
        <f>INDEX(Table_Programs_Rates[Custom Incentive Rate], MATCH(Input_ProgramType, Table_Programs_Rates[List_Programs], 0))</f>
        <v>#N/A</v>
      </c>
      <c r="D6" s="121">
        <v>3</v>
      </c>
      <c r="E6" s="121" t="s">
        <v>61</v>
      </c>
      <c r="F6" s="98">
        <v>220530</v>
      </c>
      <c r="G6" s="121" t="s">
        <v>254</v>
      </c>
      <c r="H6" s="29">
        <v>269</v>
      </c>
      <c r="I6" s="29">
        <v>478</v>
      </c>
      <c r="J6" s="29">
        <v>112</v>
      </c>
      <c r="K6" s="29">
        <v>200</v>
      </c>
      <c r="L6" s="257">
        <f>(5.1+10)/2</f>
        <v>7.55</v>
      </c>
      <c r="M6" s="121" t="s">
        <v>270</v>
      </c>
      <c r="N6" s="289" t="e">
        <f>Table_Prescript_Meas[[#This Row],[Average Tons]]*VLOOKUP('A-C &amp; Heat Pumps'!$E$4,References!$S$5:$V$17,3,FALSE)</f>
        <v>#N/A</v>
      </c>
      <c r="O6" s="120" t="e">
        <f>Table_Prescript_Meas[[#This Row],[Average Tons]]*VLOOKUP('A-C &amp; Heat Pumps'!$E$4,References!$S$5:$V$17,4,FALSE)</f>
        <v>#N/A</v>
      </c>
      <c r="P6" s="29" t="e">
        <f>Table_Prescript_Meas[[#This Row],[Incentive - LC (RCA)]]/Table_Prescript_Meas[[#This Row],[Deemed kWh Savings]]</f>
        <v>#N/A</v>
      </c>
      <c r="Q6" s="29" t="e">
        <f>Table_Prescript_Meas[[#This Row],[Incentive - SC (RCA)]]/Table_Prescript_Meas[[#This Row],[Deemed kWh Savings]]</f>
        <v>#N/A</v>
      </c>
      <c r="S6" t="s">
        <v>293</v>
      </c>
      <c r="T6" s="264" t="s">
        <v>222</v>
      </c>
      <c r="U6" s="265">
        <v>294</v>
      </c>
      <c r="V6" s="266">
        <v>0.17330000000000001</v>
      </c>
      <c r="AC6" t="s">
        <v>82</v>
      </c>
      <c r="AD6" t="s">
        <v>83</v>
      </c>
      <c r="AE6" t="s">
        <v>73</v>
      </c>
      <c r="AG6" t="s">
        <v>84</v>
      </c>
      <c r="AI6" t="s">
        <v>85</v>
      </c>
      <c r="AK6" t="s">
        <v>86</v>
      </c>
      <c r="AL6" t="s">
        <v>87</v>
      </c>
      <c r="AM6" t="s">
        <v>88</v>
      </c>
      <c r="AN6" t="s">
        <v>28</v>
      </c>
      <c r="AO6" t="s">
        <v>89</v>
      </c>
      <c r="AQ6" s="44" t="str">
        <f>Table_Prescript_Meas[[#This Row],[Measure Description]]</f>
        <v>A/C Tune-Up (5.1 to 10 Tons)</v>
      </c>
      <c r="AR6" s="44"/>
      <c r="AS6" s="44"/>
      <c r="AT6" s="44"/>
      <c r="AU6" s="44"/>
      <c r="AV6" s="44"/>
      <c r="AW6" s="44"/>
      <c r="AX6" s="44"/>
      <c r="AY6" s="44"/>
      <c r="AZ6" s="44"/>
      <c r="BA6" s="44"/>
    </row>
    <row r="7" spans="1:53" ht="16.5" thickTop="1" thickBot="1" x14ac:dyDescent="0.25">
      <c r="A7" s="42" t="s">
        <v>90</v>
      </c>
      <c r="B7" s="50">
        <v>1</v>
      </c>
      <c r="D7" s="121">
        <v>4</v>
      </c>
      <c r="E7" s="121" t="s">
        <v>61</v>
      </c>
      <c r="F7" s="149">
        <v>220630</v>
      </c>
      <c r="G7" s="121" t="s">
        <v>255</v>
      </c>
      <c r="H7" s="29">
        <v>447</v>
      </c>
      <c r="I7" s="29">
        <v>795</v>
      </c>
      <c r="J7" s="29">
        <v>190</v>
      </c>
      <c r="K7" s="29">
        <v>338</v>
      </c>
      <c r="L7" s="257">
        <f>(10.1+15)/2</f>
        <v>12.55</v>
      </c>
      <c r="M7" s="121" t="s">
        <v>270</v>
      </c>
      <c r="N7" s="289" t="e">
        <f>Table_Prescript_Meas[[#This Row],[Average Tons]]*VLOOKUP('A-C &amp; Heat Pumps'!$E$4,References!$S$5:$V$17,3,FALSE)</f>
        <v>#N/A</v>
      </c>
      <c r="O7" s="120" t="e">
        <f>Table_Prescript_Meas[[#This Row],[Average Tons]]*VLOOKUP('A-C &amp; Heat Pumps'!$E$4,References!$S$5:$V$17,4,FALSE)</f>
        <v>#N/A</v>
      </c>
      <c r="P7" s="29" t="e">
        <f>Table_Prescript_Meas[[#This Row],[Incentive - LC (RCA)]]/Table_Prescript_Meas[[#This Row],[Deemed kWh Savings]]</f>
        <v>#N/A</v>
      </c>
      <c r="Q7" s="29" t="e">
        <f>Table_Prescript_Meas[[#This Row],[Incentive - SC (RCA)]]/Table_Prescript_Meas[[#This Row],[Deemed kWh Savings]]</f>
        <v>#N/A</v>
      </c>
      <c r="S7" t="s">
        <v>223</v>
      </c>
      <c r="T7" s="264" t="s">
        <v>223</v>
      </c>
      <c r="U7" s="265">
        <v>383</v>
      </c>
      <c r="V7" s="266">
        <v>0.1636</v>
      </c>
      <c r="AC7" t="s">
        <v>91</v>
      </c>
      <c r="AD7" t="s">
        <v>91</v>
      </c>
      <c r="AG7" t="s">
        <v>92</v>
      </c>
      <c r="AI7" t="s">
        <v>93</v>
      </c>
      <c r="AK7" t="s">
        <v>13</v>
      </c>
      <c r="AL7" t="s">
        <v>94</v>
      </c>
      <c r="AM7" t="s">
        <v>95</v>
      </c>
      <c r="AN7" t="s">
        <v>96</v>
      </c>
      <c r="AO7" t="s">
        <v>97</v>
      </c>
      <c r="AQ7" s="44" t="str">
        <f>Table_Prescript_Meas[[#This Row],[Measure Description]]</f>
        <v>A/C Tune-Up (10.1 to 15 Tons)</v>
      </c>
      <c r="AR7" s="44"/>
      <c r="AS7" s="44"/>
      <c r="AU7" s="44"/>
      <c r="AV7" s="44"/>
      <c r="AX7" s="44"/>
      <c r="AZ7" s="44"/>
    </row>
    <row r="8" spans="1:53" ht="16.5" thickTop="1" thickBot="1" x14ac:dyDescent="0.25">
      <c r="A8" s="42" t="s">
        <v>98</v>
      </c>
      <c r="B8" s="62" t="s">
        <v>495</v>
      </c>
      <c r="D8" s="121">
        <v>5</v>
      </c>
      <c r="E8" s="121" t="s">
        <v>61</v>
      </c>
      <c r="F8" s="98">
        <v>220730</v>
      </c>
      <c r="G8" s="121" t="s">
        <v>256</v>
      </c>
      <c r="H8" s="114">
        <v>714</v>
      </c>
      <c r="I8" s="114">
        <v>1269</v>
      </c>
      <c r="J8" s="114">
        <v>304</v>
      </c>
      <c r="K8" s="114">
        <v>541</v>
      </c>
      <c r="L8" s="258">
        <f>(15.1+25)/2</f>
        <v>20.05</v>
      </c>
      <c r="M8" s="121" t="s">
        <v>270</v>
      </c>
      <c r="N8" s="289" t="e">
        <f>Table_Prescript_Meas[[#This Row],[Average Tons]]*VLOOKUP('A-C &amp; Heat Pumps'!$E$4,References!$S$5:$V$17,3,FALSE)</f>
        <v>#N/A</v>
      </c>
      <c r="O8" s="120" t="e">
        <f>Table_Prescript_Meas[[#This Row],[Average Tons]]*VLOOKUP('A-C &amp; Heat Pumps'!$E$4,References!$S$5:$V$17,4,FALSE)</f>
        <v>#N/A</v>
      </c>
      <c r="P8" s="29" t="e">
        <f>Table_Prescript_Meas[[#This Row],[Incentive - LC (RCA)]]/Table_Prescript_Meas[[#This Row],[Deemed kWh Savings]]</f>
        <v>#N/A</v>
      </c>
      <c r="Q8" s="29" t="e">
        <f>Table_Prescript_Meas[[#This Row],[Incentive - SC (RCA)]]/Table_Prescript_Meas[[#This Row],[Deemed kWh Savings]]</f>
        <v>#N/A</v>
      </c>
      <c r="S8" t="s">
        <v>294</v>
      </c>
      <c r="T8" s="264" t="s">
        <v>224</v>
      </c>
      <c r="U8" s="265">
        <v>285</v>
      </c>
      <c r="V8" s="266">
        <v>0.16170000000000001</v>
      </c>
      <c r="AC8" t="s">
        <v>99</v>
      </c>
      <c r="AD8" t="s">
        <v>100</v>
      </c>
      <c r="AG8" t="s">
        <v>101</v>
      </c>
      <c r="AK8" t="s">
        <v>102</v>
      </c>
      <c r="AL8" t="s">
        <v>103</v>
      </c>
      <c r="AM8" t="s">
        <v>104</v>
      </c>
      <c r="AO8" t="s">
        <v>105</v>
      </c>
      <c r="AQ8" s="44" t="str">
        <f>Table_Prescript_Meas[[#This Row],[Measure Description]]</f>
        <v>A/C Tune-Up (15.1 to 25 Tons)</v>
      </c>
      <c r="AR8" s="44"/>
      <c r="AS8" s="44"/>
      <c r="AU8" s="44"/>
      <c r="AV8" s="44"/>
      <c r="AZ8" s="44"/>
    </row>
    <row r="9" spans="1:53" ht="16.5" thickTop="1" thickBot="1" x14ac:dyDescent="0.25">
      <c r="A9" s="42" t="s">
        <v>106</v>
      </c>
      <c r="B9" s="63"/>
      <c r="D9" s="121">
        <v>6</v>
      </c>
      <c r="E9" s="121" t="s">
        <v>61</v>
      </c>
      <c r="F9" s="149">
        <v>220830</v>
      </c>
      <c r="G9" s="121" t="s">
        <v>257</v>
      </c>
      <c r="H9" s="114">
        <v>981</v>
      </c>
      <c r="I9" s="114">
        <v>1744</v>
      </c>
      <c r="J9" s="114">
        <v>461</v>
      </c>
      <c r="K9" s="114">
        <v>819</v>
      </c>
      <c r="L9" s="258">
        <f>(25.1+30)/2</f>
        <v>27.55</v>
      </c>
      <c r="M9" s="121" t="s">
        <v>270</v>
      </c>
      <c r="N9" s="289" t="e">
        <f>Table_Prescript_Meas[[#This Row],[Average Tons]]*VLOOKUP('A-C &amp; Heat Pumps'!$E$4,References!$S$5:$V$17,3,FALSE)</f>
        <v>#N/A</v>
      </c>
      <c r="O9" s="120" t="e">
        <f>Table_Prescript_Meas[[#This Row],[Average Tons]]*VLOOKUP('A-C &amp; Heat Pumps'!$E$4,References!$S$5:$V$17,4,FALSE)</f>
        <v>#N/A</v>
      </c>
      <c r="P9" s="29" t="e">
        <f>Table_Prescript_Meas[[#This Row],[Incentive - LC (RCA)]]/Table_Prescript_Meas[[#This Row],[Deemed kWh Savings]]</f>
        <v>#N/A</v>
      </c>
      <c r="Q9" s="29" t="e">
        <f>Table_Prescript_Meas[[#This Row],[Incentive - SC (RCA)]]/Table_Prescript_Meas[[#This Row],[Deemed kWh Savings]]</f>
        <v>#N/A</v>
      </c>
      <c r="S9" t="s">
        <v>225</v>
      </c>
      <c r="T9" s="264" t="s">
        <v>225</v>
      </c>
      <c r="U9" s="265">
        <v>403</v>
      </c>
      <c r="V9" s="266">
        <v>0.1482</v>
      </c>
      <c r="AC9" t="s">
        <v>107</v>
      </c>
      <c r="AD9" t="s">
        <v>108</v>
      </c>
      <c r="AG9" t="s">
        <v>109</v>
      </c>
      <c r="AK9" t="s">
        <v>110</v>
      </c>
      <c r="AL9" t="s">
        <v>111</v>
      </c>
      <c r="AM9" t="s">
        <v>93</v>
      </c>
      <c r="AO9" t="s">
        <v>21</v>
      </c>
      <c r="AQ9" s="44" t="str">
        <f>Table_Prescript_Meas[[#This Row],[Measure Description]]</f>
        <v>A/C Tune-Up (25.1 to 30 Tons)</v>
      </c>
      <c r="AR9" s="44"/>
      <c r="AS9" s="44"/>
      <c r="AU9" s="44"/>
      <c r="AV9" s="44"/>
      <c r="AZ9" s="44"/>
    </row>
    <row r="10" spans="1:53" ht="15.75" thickTop="1" x14ac:dyDescent="0.2">
      <c r="D10" s="121">
        <v>7</v>
      </c>
      <c r="E10" s="121" t="s">
        <v>61</v>
      </c>
      <c r="F10" s="98">
        <v>220930</v>
      </c>
      <c r="G10" s="121" t="s">
        <v>258</v>
      </c>
      <c r="H10" s="29">
        <v>1426</v>
      </c>
      <c r="I10" s="29">
        <v>2536</v>
      </c>
      <c r="J10" s="29">
        <v>670</v>
      </c>
      <c r="K10" s="29">
        <v>1190</v>
      </c>
      <c r="L10" s="257">
        <f>(30.1+50)/2</f>
        <v>40.049999999999997</v>
      </c>
      <c r="M10" s="121" t="s">
        <v>270</v>
      </c>
      <c r="N10" s="289" t="e">
        <f>Table_Prescript_Meas[[#This Row],[Average Tons]]*VLOOKUP('A-C &amp; Heat Pumps'!$E$4,References!$S$5:$V$17,3,FALSE)</f>
        <v>#N/A</v>
      </c>
      <c r="O10" s="120" t="e">
        <f>Table_Prescript_Meas[[#This Row],[Average Tons]]*VLOOKUP('A-C &amp; Heat Pumps'!$E$4,References!$S$5:$V$17,4,FALSE)</f>
        <v>#N/A</v>
      </c>
      <c r="P10" s="29" t="e">
        <f>Table_Prescript_Meas[[#This Row],[Incentive - LC (RCA)]]/Table_Prescript_Meas[[#This Row],[Deemed kWh Savings]]</f>
        <v>#N/A</v>
      </c>
      <c r="Q10" s="29" t="e">
        <f>Table_Prescript_Meas[[#This Row],[Incentive - SC (RCA)]]/Table_Prescript_Meas[[#This Row],[Deemed kWh Savings]]</f>
        <v>#N/A</v>
      </c>
      <c r="S10" t="s">
        <v>226</v>
      </c>
      <c r="T10" s="264" t="s">
        <v>226</v>
      </c>
      <c r="U10" s="265">
        <v>384</v>
      </c>
      <c r="V10" s="266">
        <v>0.1636</v>
      </c>
      <c r="AC10" t="s">
        <v>93</v>
      </c>
      <c r="AG10" t="s">
        <v>112</v>
      </c>
      <c r="AK10" t="s">
        <v>113</v>
      </c>
      <c r="AL10" t="s">
        <v>114</v>
      </c>
      <c r="AM10" t="s">
        <v>115</v>
      </c>
      <c r="AO10" t="s">
        <v>116</v>
      </c>
      <c r="AQ10" s="44" t="str">
        <f>Table_Prescript_Meas[[#This Row],[Measure Description]]</f>
        <v>A/C Tune-Up (30.1 to 50 Tons)</v>
      </c>
      <c r="AR10" s="44"/>
      <c r="AS10" s="44"/>
      <c r="AU10" s="44"/>
      <c r="AZ10" s="44"/>
    </row>
    <row r="11" spans="1:53" ht="15" x14ac:dyDescent="0.2">
      <c r="D11" s="121">
        <v>8</v>
      </c>
      <c r="E11" s="121" t="s">
        <v>61</v>
      </c>
      <c r="F11" s="149">
        <v>221030</v>
      </c>
      <c r="G11" s="121" t="s">
        <v>259</v>
      </c>
      <c r="H11" s="29">
        <v>2317</v>
      </c>
      <c r="I11" s="29">
        <v>4118</v>
      </c>
      <c r="J11" s="29">
        <v>1087</v>
      </c>
      <c r="K11" s="29">
        <v>1933</v>
      </c>
      <c r="L11" s="257">
        <f>(50.1+80)/2</f>
        <v>65.05</v>
      </c>
      <c r="M11" s="121" t="s">
        <v>270</v>
      </c>
      <c r="N11" s="289" t="e">
        <f>Table_Prescript_Meas[[#This Row],[Average Tons]]*VLOOKUP('A-C &amp; Heat Pumps'!$E$4,References!$S$5:$V$17,3,FALSE)</f>
        <v>#N/A</v>
      </c>
      <c r="O11" s="120" t="e">
        <f>Table_Prescript_Meas[[#This Row],[Average Tons]]*VLOOKUP('A-C &amp; Heat Pumps'!$E$4,References!$S$5:$V$17,4,FALSE)</f>
        <v>#N/A</v>
      </c>
      <c r="P11" s="29" t="e">
        <f>Table_Prescript_Meas[[#This Row],[Incentive - LC (RCA)]]/Table_Prescript_Meas[[#This Row],[Deemed kWh Savings]]</f>
        <v>#N/A</v>
      </c>
      <c r="Q11" s="29" t="e">
        <f>Table_Prescript_Meas[[#This Row],[Incentive - SC (RCA)]]/Table_Prescript_Meas[[#This Row],[Deemed kWh Savings]]</f>
        <v>#N/A</v>
      </c>
      <c r="S11" t="s">
        <v>227</v>
      </c>
      <c r="T11" s="264" t="s">
        <v>227</v>
      </c>
      <c r="U11" s="265">
        <v>614</v>
      </c>
      <c r="V11" s="266">
        <v>0.1694</v>
      </c>
      <c r="AG11" t="s">
        <v>117</v>
      </c>
      <c r="AK11" t="s">
        <v>118</v>
      </c>
      <c r="AO11" t="s">
        <v>119</v>
      </c>
      <c r="AQ11" s="44" t="str">
        <f>Table_Prescript_Meas[[#This Row],[Measure Description]]</f>
        <v>A/C Tune-Up (50.1 to 80 Tons)</v>
      </c>
      <c r="AR11" s="44"/>
      <c r="AU11" s="44"/>
      <c r="AZ11" s="44"/>
    </row>
    <row r="12" spans="1:53" ht="15" x14ac:dyDescent="0.2">
      <c r="D12" s="121">
        <v>9</v>
      </c>
      <c r="E12" s="121" t="s">
        <v>61</v>
      </c>
      <c r="F12" s="98">
        <v>221130</v>
      </c>
      <c r="G12" s="121" t="s">
        <v>260</v>
      </c>
      <c r="H12" s="29">
        <v>2849</v>
      </c>
      <c r="I12" s="29">
        <v>5065</v>
      </c>
      <c r="J12" s="29">
        <v>1337</v>
      </c>
      <c r="K12" s="29">
        <v>2377</v>
      </c>
      <c r="L12" s="257">
        <f>80.1</f>
        <v>80.099999999999994</v>
      </c>
      <c r="M12" s="121" t="s">
        <v>270</v>
      </c>
      <c r="N12" s="289" t="e">
        <f>Table_Prescript_Meas[[#This Row],[Average Tons]]*VLOOKUP('A-C &amp; Heat Pumps'!$E$4,References!$S$5:$V$17,3,FALSE)</f>
        <v>#N/A</v>
      </c>
      <c r="O12" s="120" t="e">
        <f>Table_Prescript_Meas[[#This Row],[Average Tons]]*VLOOKUP('A-C &amp; Heat Pumps'!$E$4,References!$S$5:$V$17,4,FALSE)</f>
        <v>#N/A</v>
      </c>
      <c r="P12" s="29" t="e">
        <f>Table_Prescript_Meas[[#This Row],[Incentive - LC (RCA)]]/Table_Prescript_Meas[[#This Row],[Deemed kWh Savings]]</f>
        <v>#N/A</v>
      </c>
      <c r="Q12" s="29" t="e">
        <f>Table_Prescript_Meas[[#This Row],[Incentive - SC (RCA)]]/Table_Prescript_Meas[[#This Row],[Deemed kWh Savings]]</f>
        <v>#N/A</v>
      </c>
      <c r="S12" t="s">
        <v>228</v>
      </c>
      <c r="T12" s="264" t="s">
        <v>228</v>
      </c>
      <c r="U12" s="265">
        <v>448</v>
      </c>
      <c r="V12" s="266">
        <v>0.13669999999999999</v>
      </c>
      <c r="AG12" t="s">
        <v>120</v>
      </c>
      <c r="AK12" t="s">
        <v>121</v>
      </c>
      <c r="AO12" t="s">
        <v>122</v>
      </c>
      <c r="AQ12" s="44" t="str">
        <f>Table_Prescript_Meas[[#This Row],[Measure Description]]</f>
        <v>A/C Tune-Up (80.1+ Tons)</v>
      </c>
      <c r="AR12" s="44"/>
      <c r="AZ12" s="44"/>
    </row>
    <row r="13" spans="1:53" ht="15.75" thickBot="1" x14ac:dyDescent="0.25">
      <c r="D13" s="121">
        <v>10</v>
      </c>
      <c r="E13" s="121" t="s">
        <v>61</v>
      </c>
      <c r="F13" s="149">
        <v>221230</v>
      </c>
      <c r="G13" s="121" t="s">
        <v>261</v>
      </c>
      <c r="H13" s="29">
        <v>109</v>
      </c>
      <c r="I13" s="29">
        <v>193</v>
      </c>
      <c r="J13" s="29">
        <v>43</v>
      </c>
      <c r="K13" s="29">
        <v>76</v>
      </c>
      <c r="L13" s="257">
        <f>(1.5+3.5)/2</f>
        <v>2.5</v>
      </c>
      <c r="M13" s="121" t="s">
        <v>270</v>
      </c>
      <c r="N13" s="259" t="e">
        <f>Table_Prescript_Meas[[#This Row],[Average Tons]]*VLOOKUP('A-C &amp; Heat Pumps'!$E$4,$S$21:$V$33,3,FALSE)</f>
        <v>#N/A</v>
      </c>
      <c r="O13" s="120" t="e">
        <f>Table_Prescript_Meas[[#This Row],[Average Tons]]*VLOOKUP('A-C &amp; Heat Pumps'!$E$4,References!$S$21:$V$33,4,FALSE)</f>
        <v>#N/A</v>
      </c>
      <c r="P13" s="29" t="e">
        <f>Table_Prescript_Meas[[#This Row],[Incentive - LC (RCA)]]/Table_Prescript_Meas[[#This Row],[Deemed kWh Savings]]</f>
        <v>#N/A</v>
      </c>
      <c r="Q13" s="29" t="e">
        <f>Table_Prescript_Meas[[#This Row],[Incentive - SC (RCA)]]/Table_Prescript_Meas[[#This Row],[Deemed kWh Savings]]</f>
        <v>#N/A</v>
      </c>
      <c r="S13" t="s">
        <v>296</v>
      </c>
      <c r="T13" s="264" t="s">
        <v>229</v>
      </c>
      <c r="U13" s="265">
        <v>397</v>
      </c>
      <c r="V13" s="266">
        <v>0.16170000000000001</v>
      </c>
      <c r="AG13" t="s">
        <v>123</v>
      </c>
      <c r="AK13" t="s">
        <v>124</v>
      </c>
      <c r="AO13" t="s">
        <v>93</v>
      </c>
      <c r="AQ13" s="44" t="str">
        <f>Table_Prescript_Meas[[#This Row],[Measure Description]]</f>
        <v>Heat Pump Tune-Up (1.5 to 3.5 Tons)</v>
      </c>
      <c r="AR13" s="44"/>
      <c r="AZ13" s="44"/>
    </row>
    <row r="14" spans="1:53" ht="16.5" thickTop="1" thickBot="1" x14ac:dyDescent="0.25">
      <c r="D14" s="121">
        <v>11</v>
      </c>
      <c r="E14" s="98" t="s">
        <v>61</v>
      </c>
      <c r="F14" s="98">
        <v>221330</v>
      </c>
      <c r="G14" s="121" t="s">
        <v>262</v>
      </c>
      <c r="H14" s="29">
        <v>187</v>
      </c>
      <c r="I14" s="29">
        <v>332</v>
      </c>
      <c r="J14" s="29">
        <v>73</v>
      </c>
      <c r="K14" s="29">
        <v>131</v>
      </c>
      <c r="L14" s="257">
        <f>(3.6+5)/2</f>
        <v>4.3</v>
      </c>
      <c r="M14" s="121" t="s">
        <v>270</v>
      </c>
      <c r="N14" s="259" t="e">
        <f>Table_Prescript_Meas[[#This Row],[Average Tons]]*VLOOKUP('A-C &amp; Heat Pumps'!$E$4,$S$21:$V$33,3,FALSE)</f>
        <v>#N/A</v>
      </c>
      <c r="O14" s="120" t="e">
        <f>Table_Prescript_Meas[[#This Row],[Average Tons]]*VLOOKUP('A-C &amp; Heat Pumps'!$E$4,References!$S$21:$V$33,4,FALSE)</f>
        <v>#N/A</v>
      </c>
      <c r="P14" s="29" t="e">
        <f>Table_Prescript_Meas[[#This Row],[Incentive - LC (RCA)]]/Table_Prescript_Meas[[#This Row],[Deemed kWh Savings]]</f>
        <v>#N/A</v>
      </c>
      <c r="Q14" s="29" t="e">
        <f>Table_Prescript_Meas[[#This Row],[Incentive - SC (RCA)]]/Table_Prescript_Meas[[#This Row],[Deemed kWh Savings]]</f>
        <v>#N/A</v>
      </c>
      <c r="R14" s="42"/>
      <c r="S14" t="s">
        <v>291</v>
      </c>
      <c r="T14" s="264" t="s">
        <v>230</v>
      </c>
      <c r="U14" s="265">
        <v>291</v>
      </c>
      <c r="V14" s="266">
        <v>0.16170000000000001</v>
      </c>
      <c r="AG14" t="s">
        <v>125</v>
      </c>
      <c r="AK14" t="s">
        <v>126</v>
      </c>
      <c r="AQ14" s="44" t="str">
        <f>Table_Prescript_Meas[[#This Row],[Measure Description]]</f>
        <v>Heat Pump Tune-Up (3.6 to 5.0 Tons)</v>
      </c>
      <c r="AR14" s="44"/>
      <c r="AZ14" s="44"/>
    </row>
    <row r="15" spans="1:53" ht="15.75" thickTop="1" x14ac:dyDescent="0.2">
      <c r="D15" s="121">
        <v>12</v>
      </c>
      <c r="E15" s="98" t="s">
        <v>61</v>
      </c>
      <c r="F15" s="149">
        <v>221430</v>
      </c>
      <c r="G15" s="121" t="s">
        <v>263</v>
      </c>
      <c r="H15" s="29">
        <v>328</v>
      </c>
      <c r="I15" s="29">
        <v>583</v>
      </c>
      <c r="J15" s="29">
        <v>132</v>
      </c>
      <c r="K15" s="29">
        <v>234</v>
      </c>
      <c r="L15" s="257">
        <f>(5.1+10)/2</f>
        <v>7.55</v>
      </c>
      <c r="M15" s="121" t="s">
        <v>270</v>
      </c>
      <c r="N15" s="259" t="e">
        <f>Table_Prescript_Meas[[#This Row],[Average Tons]]*VLOOKUP('A-C &amp; Heat Pumps'!$E$4,$S$21:$V$33,3,FALSE)</f>
        <v>#N/A</v>
      </c>
      <c r="O15" s="120" t="e">
        <f>Table_Prescript_Meas[[#This Row],[Average Tons]]*VLOOKUP('A-C &amp; Heat Pumps'!$E$4,References!$S$21:$V$33,4,FALSE)</f>
        <v>#N/A</v>
      </c>
      <c r="P15" s="29" t="e">
        <f>Table_Prescript_Meas[[#This Row],[Incentive - LC (RCA)]]/Table_Prescript_Meas[[#This Row],[Deemed kWh Savings]]</f>
        <v>#N/A</v>
      </c>
      <c r="Q15" s="29" t="e">
        <f>Table_Prescript_Meas[[#This Row],[Incentive - SC (RCA)]]/Table_Prescript_Meas[[#This Row],[Deemed kWh Savings]]</f>
        <v>#N/A</v>
      </c>
      <c r="S15" s="6" t="s">
        <v>297</v>
      </c>
      <c r="T15" s="264" t="s">
        <v>73</v>
      </c>
      <c r="U15" s="265">
        <v>396</v>
      </c>
      <c r="V15" s="267">
        <v>0.159</v>
      </c>
      <c r="W15" s="6"/>
      <c r="X15" s="6"/>
      <c r="AK15" t="s">
        <v>127</v>
      </c>
      <c r="AQ15" s="44" t="str">
        <f>Table_Prescript_Meas[[#This Row],[Measure Description]]</f>
        <v>Heat Pump Tune-Up (5.1 to 10 Tons)</v>
      </c>
      <c r="AR15" s="44"/>
      <c r="AZ15" s="44"/>
    </row>
    <row r="16" spans="1:53" ht="15" x14ac:dyDescent="0.2">
      <c r="D16" s="121">
        <v>13</v>
      </c>
      <c r="E16" s="98" t="s">
        <v>61</v>
      </c>
      <c r="F16" s="98">
        <v>221530</v>
      </c>
      <c r="G16" s="121" t="s">
        <v>264</v>
      </c>
      <c r="H16" s="29">
        <v>546</v>
      </c>
      <c r="I16" s="29">
        <v>970</v>
      </c>
      <c r="J16" s="29">
        <v>228</v>
      </c>
      <c r="K16" s="29">
        <v>404</v>
      </c>
      <c r="L16" s="257">
        <f>(10.1+15)/2</f>
        <v>12.55</v>
      </c>
      <c r="M16" s="121" t="s">
        <v>270</v>
      </c>
      <c r="N16" s="259" t="e">
        <f>Table_Prescript_Meas[[#This Row],[Average Tons]]*VLOOKUP('A-C &amp; Heat Pumps'!$E$4,$S$21:$V$33,3,FALSE)</f>
        <v>#N/A</v>
      </c>
      <c r="O16" s="120" t="e">
        <f>Table_Prescript_Meas[[#This Row],[Average Tons]]*VLOOKUP('A-C &amp; Heat Pumps'!$E$4,References!$S$21:$V$33,4,FALSE)</f>
        <v>#N/A</v>
      </c>
      <c r="P16" s="29" t="e">
        <f>Table_Prescript_Meas[[#This Row],[Incentive - LC (RCA)]]/Table_Prescript_Meas[[#This Row],[Deemed kWh Savings]]</f>
        <v>#N/A</v>
      </c>
      <c r="Q16" s="29" t="e">
        <f>Table_Prescript_Meas[[#This Row],[Incentive - SC (RCA)]]/Table_Prescript_Meas[[#This Row],[Deemed kWh Savings]]</f>
        <v>#N/A</v>
      </c>
      <c r="S16" s="6" t="s">
        <v>290</v>
      </c>
      <c r="T16" s="264" t="s">
        <v>290</v>
      </c>
      <c r="U16" s="265">
        <f>U15</f>
        <v>396</v>
      </c>
      <c r="V16" s="267">
        <f>V15</f>
        <v>0.159</v>
      </c>
      <c r="W16" s="35"/>
      <c r="X16" s="121"/>
      <c r="AK16" t="s">
        <v>128</v>
      </c>
      <c r="AQ16" s="44" t="str">
        <f>Table_Prescript_Meas[[#This Row],[Measure Description]]</f>
        <v>Heat Pump Tune-Up (10.1 to 15 Tons)</v>
      </c>
      <c r="AR16" s="44"/>
      <c r="AZ16" s="44"/>
    </row>
    <row r="17" spans="4:52" ht="15" x14ac:dyDescent="0.2">
      <c r="D17" s="121">
        <v>14</v>
      </c>
      <c r="E17" s="98" t="s">
        <v>61</v>
      </c>
      <c r="F17" s="149">
        <v>221630</v>
      </c>
      <c r="G17" s="121" t="s">
        <v>265</v>
      </c>
      <c r="H17" s="29">
        <v>872</v>
      </c>
      <c r="I17" s="29">
        <v>1549</v>
      </c>
      <c r="J17" s="29">
        <v>363</v>
      </c>
      <c r="K17" s="29">
        <v>646</v>
      </c>
      <c r="L17" s="258">
        <f>(15.1+25)/2</f>
        <v>20.05</v>
      </c>
      <c r="M17" s="121" t="s">
        <v>270</v>
      </c>
      <c r="N17" s="259" t="e">
        <f>Table_Prescript_Meas[[#This Row],[Average Tons]]*VLOOKUP('A-C &amp; Heat Pumps'!$E$4,$S$21:$V$33,3,FALSE)</f>
        <v>#N/A</v>
      </c>
      <c r="O17" s="120" t="e">
        <f>Table_Prescript_Meas[[#This Row],[Average Tons]]*VLOOKUP('A-C &amp; Heat Pumps'!$E$4,References!$S$21:$V$33,4,FALSE)</f>
        <v>#N/A</v>
      </c>
      <c r="P17" s="29" t="e">
        <f>Table_Prescript_Meas[[#This Row],[Incentive - LC (RCA)]]/Table_Prescript_Meas[[#This Row],[Deemed kWh Savings]]</f>
        <v>#N/A</v>
      </c>
      <c r="Q17" s="29" t="e">
        <f>Table_Prescript_Meas[[#This Row],[Incentive - SC (RCA)]]/Table_Prescript_Meas[[#This Row],[Deemed kWh Savings]]</f>
        <v>#N/A</v>
      </c>
      <c r="S17" s="6" t="s">
        <v>295</v>
      </c>
      <c r="T17" s="264" t="s">
        <v>295</v>
      </c>
      <c r="U17" s="265">
        <f>U15</f>
        <v>396</v>
      </c>
      <c r="V17" s="267">
        <f>V15</f>
        <v>0.159</v>
      </c>
      <c r="W17" s="121"/>
      <c r="X17" s="121"/>
      <c r="AK17" t="s">
        <v>129</v>
      </c>
      <c r="AQ17" s="44" t="str">
        <f>Table_Prescript_Meas[[#This Row],[Measure Description]]</f>
        <v>Heat Pump Tune-Up (15.1 to 25 Tons)</v>
      </c>
      <c r="AR17" s="44"/>
      <c r="AZ17" s="44"/>
    </row>
    <row r="18" spans="4:52" x14ac:dyDescent="0.2">
      <c r="D18" s="121">
        <v>15</v>
      </c>
      <c r="E18" s="98" t="s">
        <v>61</v>
      </c>
      <c r="F18" s="98">
        <v>221730</v>
      </c>
      <c r="G18" s="121" t="s">
        <v>266</v>
      </c>
      <c r="H18" s="29">
        <v>1198</v>
      </c>
      <c r="I18" s="29">
        <v>2129</v>
      </c>
      <c r="J18" s="29">
        <v>551</v>
      </c>
      <c r="K18" s="29">
        <v>979</v>
      </c>
      <c r="L18" s="258">
        <f>(25.1+30)/2</f>
        <v>27.55</v>
      </c>
      <c r="M18" s="121" t="s">
        <v>270</v>
      </c>
      <c r="N18" s="259" t="e">
        <f>Table_Prescript_Meas[[#This Row],[Average Tons]]*VLOOKUP('A-C &amp; Heat Pumps'!$E$4,$S$21:$V$33,3,FALSE)</f>
        <v>#N/A</v>
      </c>
      <c r="O18" s="120" t="e">
        <f>Table_Prescript_Meas[[#This Row],[Average Tons]]*VLOOKUP('A-C &amp; Heat Pumps'!$E$4,References!$S$21:$V$33,4,FALSE)</f>
        <v>#N/A</v>
      </c>
      <c r="P18" s="29" t="e">
        <f>Table_Prescript_Meas[[#This Row],[Incentive - LC (RCA)]]/Table_Prescript_Meas[[#This Row],[Deemed kWh Savings]]</f>
        <v>#N/A</v>
      </c>
      <c r="Q18" s="29" t="e">
        <f>Table_Prescript_Meas[[#This Row],[Incentive - SC (RCA)]]/Table_Prescript_Meas[[#This Row],[Deemed kWh Savings]]</f>
        <v>#N/A</v>
      </c>
      <c r="W18" s="121"/>
      <c r="X18" s="121"/>
      <c r="AK18" t="s">
        <v>130</v>
      </c>
      <c r="AQ18" s="44" t="str">
        <f>Table_Prescript_Meas[[#This Row],[Measure Description]]</f>
        <v>Heat Pump Tune-Up (25.1 to 30 Tons)</v>
      </c>
      <c r="AR18" s="44"/>
      <c r="AZ18" s="44"/>
    </row>
    <row r="19" spans="4:52" ht="15" x14ac:dyDescent="0.2">
      <c r="D19" s="121">
        <v>16</v>
      </c>
      <c r="E19" s="98" t="s">
        <v>61</v>
      </c>
      <c r="F19" s="149">
        <v>221830</v>
      </c>
      <c r="G19" s="121" t="s">
        <v>267</v>
      </c>
      <c r="H19" s="29">
        <v>1741</v>
      </c>
      <c r="I19" s="29">
        <v>3095</v>
      </c>
      <c r="J19" s="29">
        <v>801</v>
      </c>
      <c r="K19" s="29">
        <v>1423</v>
      </c>
      <c r="L19" s="257">
        <f>(30.1+50)/2</f>
        <v>40.049999999999997</v>
      </c>
      <c r="M19" s="121" t="s">
        <v>270</v>
      </c>
      <c r="N19" s="259" t="e">
        <f>Table_Prescript_Meas[[#This Row],[Average Tons]]*VLOOKUP('A-C &amp; Heat Pumps'!$E$4,$S$21:$V$33,3,FALSE)</f>
        <v>#N/A</v>
      </c>
      <c r="O19" s="120" t="e">
        <f>Table_Prescript_Meas[[#This Row],[Average Tons]]*VLOOKUP('A-C &amp; Heat Pumps'!$E$4,References!$S$21:$V$33,4,FALSE)</f>
        <v>#N/A</v>
      </c>
      <c r="P19" s="29" t="e">
        <f>Table_Prescript_Meas[[#This Row],[Incentive - LC (RCA)]]/Table_Prescript_Meas[[#This Row],[Deemed kWh Savings]]</f>
        <v>#N/A</v>
      </c>
      <c r="Q19" s="29" t="e">
        <f>Table_Prescript_Meas[[#This Row],[Incentive - SC (RCA)]]/Table_Prescript_Meas[[#This Row],[Deemed kWh Savings]]</f>
        <v>#N/A</v>
      </c>
      <c r="S19" s="121"/>
      <c r="T19" s="383" t="s">
        <v>477</v>
      </c>
      <c r="U19" s="383"/>
      <c r="V19" s="383"/>
      <c r="W19" s="121"/>
      <c r="X19" s="121"/>
      <c r="AK19" t="s">
        <v>131</v>
      </c>
      <c r="AQ19" s="44" t="str">
        <f>Table_Prescript_Meas[[#This Row],[Measure Description]]</f>
        <v>Heat Pump Tune-Up (30.1 to 50 Tons)</v>
      </c>
      <c r="AZ19" s="44"/>
    </row>
    <row r="20" spans="4:52" ht="15" x14ac:dyDescent="0.2">
      <c r="D20" s="121">
        <v>17</v>
      </c>
      <c r="E20" s="98" t="s">
        <v>61</v>
      </c>
      <c r="F20" s="98">
        <v>221930</v>
      </c>
      <c r="G20" s="121" t="s">
        <v>268</v>
      </c>
      <c r="H20" s="29">
        <v>2828</v>
      </c>
      <c r="I20" s="29">
        <v>5027</v>
      </c>
      <c r="J20" s="29">
        <v>1300</v>
      </c>
      <c r="K20" s="29">
        <v>2312</v>
      </c>
      <c r="L20" s="257">
        <f>(50.1+80)/2</f>
        <v>65.05</v>
      </c>
      <c r="M20" s="121" t="s">
        <v>270</v>
      </c>
      <c r="N20" s="259" t="e">
        <f>Table_Prescript_Meas[[#This Row],[Average Tons]]*VLOOKUP('A-C &amp; Heat Pumps'!$E$4,$S$21:$V$33,3,FALSE)</f>
        <v>#N/A</v>
      </c>
      <c r="O20" s="120" t="e">
        <f>Table_Prescript_Meas[[#This Row],[Average Tons]]*VLOOKUP('A-C &amp; Heat Pumps'!$E$4,References!$S$21:$V$33,4,FALSE)</f>
        <v>#N/A</v>
      </c>
      <c r="P20" s="29" t="e">
        <f>Table_Prescript_Meas[[#This Row],[Incentive - LC (RCA)]]/Table_Prescript_Meas[[#This Row],[Deemed kWh Savings]]</f>
        <v>#N/A</v>
      </c>
      <c r="Q20" s="29" t="e">
        <f>Table_Prescript_Meas[[#This Row],[Incentive - SC (RCA)]]/Table_Prescript_Meas[[#This Row],[Deemed kWh Savings]]</f>
        <v>#N/A</v>
      </c>
      <c r="S20" s="121"/>
      <c r="T20" s="261" t="s">
        <v>12</v>
      </c>
      <c r="U20" s="262" t="s">
        <v>417</v>
      </c>
      <c r="V20" s="263" t="s">
        <v>418</v>
      </c>
      <c r="W20" s="121"/>
      <c r="X20" s="121"/>
      <c r="AK20" t="s">
        <v>132</v>
      </c>
      <c r="AQ20" s="44" t="str">
        <f>Table_Prescript_Meas[[#This Row],[Measure Description]]</f>
        <v>Heat Pump Tune-Up (50.1 to 80 Tons)</v>
      </c>
      <c r="AZ20" s="44"/>
    </row>
    <row r="21" spans="4:52" ht="15" x14ac:dyDescent="0.2">
      <c r="D21" s="121">
        <v>18</v>
      </c>
      <c r="E21" s="98" t="s">
        <v>61</v>
      </c>
      <c r="F21" s="149">
        <v>222030</v>
      </c>
      <c r="G21" s="121" t="s">
        <v>269</v>
      </c>
      <c r="H21" s="29">
        <v>3478</v>
      </c>
      <c r="I21" s="29">
        <v>6182</v>
      </c>
      <c r="J21" s="29">
        <v>1599</v>
      </c>
      <c r="K21" s="29">
        <v>2843</v>
      </c>
      <c r="L21" s="257">
        <f>80.1</f>
        <v>80.099999999999994</v>
      </c>
      <c r="M21" s="121" t="s">
        <v>270</v>
      </c>
      <c r="N21" s="259" t="e">
        <f>Table_Prescript_Meas[[#This Row],[Average Tons]]*VLOOKUP('A-C &amp; Heat Pumps'!$E$4,$S$21:$V$33,3,FALSE)</f>
        <v>#N/A</v>
      </c>
      <c r="O21" s="120" t="e">
        <f>Table_Prescript_Meas[[#This Row],[Average Tons]]*VLOOKUP('A-C &amp; Heat Pumps'!$E$4,References!$S$21:$V$33,4,FALSE)</f>
        <v>#N/A</v>
      </c>
      <c r="P21" s="29" t="e">
        <f>Table_Prescript_Meas[[#This Row],[Incentive - LC (RCA)]]/Table_Prescript_Meas[[#This Row],[Deemed kWh Savings]]</f>
        <v>#N/A</v>
      </c>
      <c r="Q21" s="29" t="e">
        <f>Table_Prescript_Meas[[#This Row],[Incentive - SC (RCA)]]/Table_Prescript_Meas[[#This Row],[Deemed kWh Savings]]</f>
        <v>#N/A</v>
      </c>
      <c r="S21" s="121" t="s">
        <v>292</v>
      </c>
      <c r="T21" s="264" t="s">
        <v>221</v>
      </c>
      <c r="U21" s="265">
        <v>538</v>
      </c>
      <c r="V21" s="266">
        <v>0.15290000000000001</v>
      </c>
      <c r="W21" s="121"/>
      <c r="X21" s="121"/>
      <c r="AK21" t="s">
        <v>133</v>
      </c>
      <c r="AQ21" s="44" t="str">
        <f>Table_Prescript_Meas[[#This Row],[Measure Description]]</f>
        <v>Heat Pump Tune-Up (80.1+ Tons)</v>
      </c>
      <c r="AZ21" s="44"/>
    </row>
    <row r="22" spans="4:52" ht="15" x14ac:dyDescent="0.2">
      <c r="D22" s="121">
        <v>19</v>
      </c>
      <c r="E22" s="98" t="s">
        <v>61</v>
      </c>
      <c r="F22" s="98">
        <v>222130</v>
      </c>
      <c r="G22" t="s">
        <v>273</v>
      </c>
      <c r="H22" s="29">
        <v>9</v>
      </c>
      <c r="I22" s="29">
        <v>15</v>
      </c>
      <c r="J22" s="29"/>
      <c r="K22" s="29"/>
      <c r="L22" s="29"/>
      <c r="M22" t="s">
        <v>276</v>
      </c>
      <c r="N22" s="260"/>
      <c r="O22" s="120"/>
      <c r="P22" s="29" t="e">
        <f>Table_Prescript_Meas[[#This Row],[Incentive - LC (RCA)]]/Table_Prescript_Meas[[#This Row],[Deemed kWh Savings]]</f>
        <v>#DIV/0!</v>
      </c>
      <c r="Q22" s="29" t="e">
        <f>Table_Prescript_Meas[[#This Row],[Incentive - SC (RCA)]]/Table_Prescript_Meas[[#This Row],[Deemed kWh Savings]]</f>
        <v>#DIV/0!</v>
      </c>
      <c r="S22" s="121" t="s">
        <v>293</v>
      </c>
      <c r="T22" s="264" t="s">
        <v>222</v>
      </c>
      <c r="U22" s="265">
        <v>340</v>
      </c>
      <c r="V22" s="266">
        <v>0.17649999999999999</v>
      </c>
      <c r="W22" s="121"/>
      <c r="X22" s="121"/>
      <c r="AK22" t="s">
        <v>134</v>
      </c>
      <c r="AQ22" s="44" t="str">
        <f>Table_Prescript_Meas[[#This Row],[Measure Description]]</f>
        <v>Tune-Up of Air-Cooled Chiller</v>
      </c>
      <c r="AZ22" s="44"/>
    </row>
    <row r="23" spans="4:52" ht="15" x14ac:dyDescent="0.2">
      <c r="D23" s="121">
        <v>20</v>
      </c>
      <c r="E23" s="98" t="s">
        <v>61</v>
      </c>
      <c r="F23" s="149">
        <v>222230</v>
      </c>
      <c r="G23" t="s">
        <v>274</v>
      </c>
      <c r="H23" s="29">
        <v>5</v>
      </c>
      <c r="I23" s="29">
        <v>9</v>
      </c>
      <c r="J23" s="29"/>
      <c r="K23" s="29"/>
      <c r="L23" s="29"/>
      <c r="M23" t="s">
        <v>276</v>
      </c>
      <c r="N23" s="64"/>
      <c r="O23" s="120"/>
      <c r="P23" s="29" t="e">
        <f>Table_Prescript_Meas[[#This Row],[Incentive - LC (RCA)]]/Table_Prescript_Meas[[#This Row],[Deemed kWh Savings]]</f>
        <v>#DIV/0!</v>
      </c>
      <c r="Q23" s="29" t="e">
        <f>Table_Prescript_Meas[[#This Row],[Incentive - SC (RCA)]]/Table_Prescript_Meas[[#This Row],[Deemed kWh Savings]]</f>
        <v>#DIV/0!</v>
      </c>
      <c r="S23" s="121" t="s">
        <v>223</v>
      </c>
      <c r="T23" s="264" t="s">
        <v>223</v>
      </c>
      <c r="U23" s="265">
        <v>420</v>
      </c>
      <c r="V23" s="266">
        <v>0.16669999999999999</v>
      </c>
      <c r="W23" s="121"/>
      <c r="X23" s="121"/>
      <c r="AK23" t="s">
        <v>135</v>
      </c>
      <c r="AQ23" s="44" t="str">
        <f>Table_Prescript_Meas[[#This Row],[Measure Description]]</f>
        <v>Tune-Up of Water-Cooled Chiller (Reciprocating, Rotary Screw, Scroll)</v>
      </c>
      <c r="AZ23" s="44"/>
    </row>
    <row r="24" spans="4:52" ht="15" x14ac:dyDescent="0.2">
      <c r="D24" s="121">
        <v>21</v>
      </c>
      <c r="E24" s="98" t="s">
        <v>61</v>
      </c>
      <c r="F24" s="98">
        <v>222330</v>
      </c>
      <c r="G24" t="s">
        <v>275</v>
      </c>
      <c r="H24" s="29">
        <v>5</v>
      </c>
      <c r="I24" s="29">
        <v>9</v>
      </c>
      <c r="J24" s="29"/>
      <c r="K24" s="29"/>
      <c r="L24" s="29"/>
      <c r="M24" t="s">
        <v>276</v>
      </c>
      <c r="N24" s="260"/>
      <c r="O24" s="120"/>
      <c r="P24" s="29" t="e">
        <f>Table_Prescript_Meas[[#This Row],[Incentive - LC (RCA)]]/Table_Prescript_Meas[[#This Row],[Deemed kWh Savings]]</f>
        <v>#DIV/0!</v>
      </c>
      <c r="Q24" s="29" t="e">
        <f>Table_Prescript_Meas[[#This Row],[Incentive - SC (RCA)]]/Table_Prescript_Meas[[#This Row],[Deemed kWh Savings]]</f>
        <v>#DIV/0!</v>
      </c>
      <c r="S24" s="121" t="s">
        <v>294</v>
      </c>
      <c r="T24" s="264" t="s">
        <v>224</v>
      </c>
      <c r="U24" s="265">
        <v>395</v>
      </c>
      <c r="V24" s="266">
        <v>0.16470000000000001</v>
      </c>
      <c r="W24" s="121"/>
      <c r="X24" s="121"/>
      <c r="AK24" t="s">
        <v>136</v>
      </c>
      <c r="AQ24" s="44" t="str">
        <f>Table_Prescript_Meas[[#This Row],[Measure Description]]</f>
        <v>Tune-Up of Water-Cooled Chiller (Centrifugal)</v>
      </c>
      <c r="AZ24" s="44"/>
    </row>
    <row r="25" spans="4:52" ht="15" x14ac:dyDescent="0.2">
      <c r="E25" s="98"/>
      <c r="F25" s="97"/>
      <c r="H25" s="29"/>
      <c r="I25" s="29"/>
      <c r="J25" s="29"/>
      <c r="K25" s="29"/>
      <c r="L25" s="29"/>
      <c r="N25" s="260"/>
      <c r="O25" s="120"/>
      <c r="P25" s="29" t="e">
        <f>Table_Prescript_Meas[[#This Row],[Incentive - LC (RCA)]]/Table_Prescript_Meas[[#This Row],[Deemed kWh Savings]]</f>
        <v>#DIV/0!</v>
      </c>
      <c r="Q25" s="29" t="e">
        <f>Table_Prescript_Meas[[#This Row],[Incentive - SC (RCA)]]/Table_Prescript_Meas[[#This Row],[Deemed kWh Savings]]</f>
        <v>#DIV/0!</v>
      </c>
      <c r="S25" s="121" t="s">
        <v>225</v>
      </c>
      <c r="T25" s="264" t="s">
        <v>225</v>
      </c>
      <c r="U25" s="265">
        <v>519</v>
      </c>
      <c r="V25" s="267">
        <v>0.151</v>
      </c>
      <c r="AK25" t="s">
        <v>137</v>
      </c>
      <c r="AZ25" s="44"/>
    </row>
    <row r="26" spans="4:52" ht="15" x14ac:dyDescent="0.2">
      <c r="E26" s="98"/>
      <c r="F26" s="97"/>
      <c r="H26" s="29"/>
      <c r="I26" s="29"/>
      <c r="J26" s="29"/>
      <c r="K26" s="29"/>
      <c r="L26" s="29"/>
      <c r="N26" s="260"/>
      <c r="O26" s="120"/>
      <c r="P26" s="29" t="e">
        <f>Table_Prescript_Meas[[#This Row],[Incentive - LC (RCA)]]/Table_Prescript_Meas[[#This Row],[Deemed kWh Savings]]</f>
        <v>#DIV/0!</v>
      </c>
      <c r="Q26" s="29" t="e">
        <f>Table_Prescript_Meas[[#This Row],[Incentive - SC (RCA)]]/Table_Prescript_Meas[[#This Row],[Deemed kWh Savings]]</f>
        <v>#DIV/0!</v>
      </c>
      <c r="S26" s="121" t="s">
        <v>226</v>
      </c>
      <c r="T26" s="264" t="s">
        <v>226</v>
      </c>
      <c r="U26" s="265">
        <v>436</v>
      </c>
      <c r="V26" s="266">
        <v>0.16669999999999999</v>
      </c>
      <c r="AK26" t="s">
        <v>138</v>
      </c>
      <c r="AZ26" s="44"/>
    </row>
    <row r="27" spans="4:52" ht="15" x14ac:dyDescent="0.2">
      <c r="E27" s="98"/>
      <c r="F27" s="97"/>
      <c r="H27" s="29"/>
      <c r="I27" s="29"/>
      <c r="J27" s="29"/>
      <c r="K27" s="29"/>
      <c r="L27" s="29"/>
      <c r="N27" s="260"/>
      <c r="O27" s="120"/>
      <c r="P27" s="29" t="e">
        <f>Table_Prescript_Meas[[#This Row],[Incentive - LC (RCA)]]/Table_Prescript_Meas[[#This Row],[Deemed kWh Savings]]</f>
        <v>#DIV/0!</v>
      </c>
      <c r="Q27" s="29" t="e">
        <f>Table_Prescript_Meas[[#This Row],[Incentive - SC (RCA)]]/Table_Prescript_Meas[[#This Row],[Deemed kWh Savings]]</f>
        <v>#DIV/0!</v>
      </c>
      <c r="S27" t="s">
        <v>227</v>
      </c>
      <c r="T27" s="264" t="s">
        <v>227</v>
      </c>
      <c r="U27" s="265">
        <v>761</v>
      </c>
      <c r="V27" s="266">
        <v>0.17249999999999999</v>
      </c>
      <c r="AK27" t="s">
        <v>139</v>
      </c>
      <c r="AZ27" s="44"/>
    </row>
    <row r="28" spans="4:52" ht="15" x14ac:dyDescent="0.2">
      <c r="E28" s="98"/>
      <c r="F28" s="97"/>
      <c r="H28" s="29"/>
      <c r="I28" s="29"/>
      <c r="J28" s="29"/>
      <c r="K28" s="29"/>
      <c r="L28" s="29"/>
      <c r="N28" s="260"/>
      <c r="O28" s="120"/>
      <c r="P28" s="29" t="e">
        <f>Table_Prescript_Meas[[#This Row],[Incentive - LC (RCA)]]/Table_Prescript_Meas[[#This Row],[Deemed kWh Savings]]</f>
        <v>#DIV/0!</v>
      </c>
      <c r="Q28" s="29" t="e">
        <f>Table_Prescript_Meas[[#This Row],[Incentive - SC (RCA)]]/Table_Prescript_Meas[[#This Row],[Deemed kWh Savings]]</f>
        <v>#DIV/0!</v>
      </c>
      <c r="S28" t="s">
        <v>228</v>
      </c>
      <c r="T28" s="264" t="s">
        <v>228</v>
      </c>
      <c r="U28" s="265">
        <v>494</v>
      </c>
      <c r="V28" s="266">
        <v>0.13919999999999999</v>
      </c>
      <c r="AK28" t="s">
        <v>140</v>
      </c>
      <c r="AZ28" s="44"/>
    </row>
    <row r="29" spans="4:52" ht="15" x14ac:dyDescent="0.2">
      <c r="E29" s="98"/>
      <c r="F29" s="97"/>
      <c r="H29" s="29"/>
      <c r="I29" s="29"/>
      <c r="J29" s="29"/>
      <c r="K29" s="29"/>
      <c r="L29" s="29"/>
      <c r="N29" s="260"/>
      <c r="O29" s="120"/>
      <c r="P29" s="29" t="e">
        <f>Table_Prescript_Meas[[#This Row],[Incentive - LC (RCA)]]/Table_Prescript_Meas[[#This Row],[Deemed kWh Savings]]</f>
        <v>#DIV/0!</v>
      </c>
      <c r="Q29" s="29" t="e">
        <f>Table_Prescript_Meas[[#This Row],[Incentive - SC (RCA)]]/Table_Prescript_Meas[[#This Row],[Deemed kWh Savings]]</f>
        <v>#DIV/0!</v>
      </c>
      <c r="S29" t="s">
        <v>296</v>
      </c>
      <c r="T29" s="264" t="s">
        <v>229</v>
      </c>
      <c r="U29" s="265">
        <v>471</v>
      </c>
      <c r="V29" s="266">
        <v>0.16470000000000001</v>
      </c>
      <c r="AK29" t="s">
        <v>141</v>
      </c>
      <c r="AZ29" s="44"/>
    </row>
    <row r="30" spans="4:52" ht="15" x14ac:dyDescent="0.2">
      <c r="E30" s="98"/>
      <c r="F30" s="97"/>
      <c r="H30" s="29"/>
      <c r="I30" s="29"/>
      <c r="J30" s="29"/>
      <c r="K30" s="29"/>
      <c r="L30" s="29"/>
      <c r="N30" s="260"/>
      <c r="O30" s="120"/>
      <c r="P30" s="29" t="e">
        <f>Table_Prescript_Meas[[#This Row],[Incentive - LC (RCA)]]/Table_Prescript_Meas[[#This Row],[Deemed kWh Savings]]</f>
        <v>#DIV/0!</v>
      </c>
      <c r="Q30" s="29" t="e">
        <f>Table_Prescript_Meas[[#This Row],[Incentive - SC (RCA)]]/Table_Prescript_Meas[[#This Row],[Deemed kWh Savings]]</f>
        <v>#DIV/0!</v>
      </c>
      <c r="S30" t="s">
        <v>291</v>
      </c>
      <c r="T30" s="264" t="s">
        <v>230</v>
      </c>
      <c r="U30" s="265">
        <v>456</v>
      </c>
      <c r="V30" s="266">
        <v>0.16470000000000001</v>
      </c>
      <c r="AK30" t="s">
        <v>142</v>
      </c>
      <c r="AZ30" s="44"/>
    </row>
    <row r="31" spans="4:52" ht="15" x14ac:dyDescent="0.2">
      <c r="E31" s="98"/>
      <c r="F31" s="97"/>
      <c r="H31" s="29"/>
      <c r="I31" s="29"/>
      <c r="J31" s="29"/>
      <c r="K31" s="29"/>
      <c r="L31" s="29"/>
      <c r="N31" s="260"/>
      <c r="O31" s="120"/>
      <c r="P31" s="29" t="e">
        <f>Table_Prescript_Meas[[#This Row],[Incentive - LC (RCA)]]/Table_Prescript_Meas[[#This Row],[Deemed kWh Savings]]</f>
        <v>#DIV/0!</v>
      </c>
      <c r="Q31" s="29" t="e">
        <f>Table_Prescript_Meas[[#This Row],[Incentive - SC (RCA)]]/Table_Prescript_Meas[[#This Row],[Deemed kWh Savings]]</f>
        <v>#DIV/0!</v>
      </c>
      <c r="S31" t="s">
        <v>297</v>
      </c>
      <c r="T31" s="264" t="s">
        <v>73</v>
      </c>
      <c r="U31" s="265">
        <v>483</v>
      </c>
      <c r="V31" s="267">
        <v>0.16200000000000001</v>
      </c>
      <c r="AK31" t="s">
        <v>143</v>
      </c>
      <c r="AZ31" s="44"/>
    </row>
    <row r="32" spans="4:52" ht="15" x14ac:dyDescent="0.2">
      <c r="D32" s="121"/>
      <c r="H32" s="29"/>
      <c r="I32" s="29"/>
      <c r="J32" s="29"/>
      <c r="K32" s="29"/>
      <c r="L32" s="29"/>
      <c r="N32" s="260"/>
      <c r="O32" s="120"/>
      <c r="P32" s="29" t="e">
        <f>Table_Prescript_Meas[[#This Row],[Incentive - LC (RCA)]]/Table_Prescript_Meas[[#This Row],[Deemed kWh Savings]]</f>
        <v>#DIV/0!</v>
      </c>
      <c r="Q32" s="29" t="e">
        <f>Table_Prescript_Meas[[#This Row],[Incentive - SC (RCA)]]/Table_Prescript_Meas[[#This Row],[Deemed kWh Savings]]</f>
        <v>#DIV/0!</v>
      </c>
      <c r="S32" s="121" t="s">
        <v>290</v>
      </c>
      <c r="T32" s="264" t="s">
        <v>290</v>
      </c>
      <c r="U32" s="265">
        <f>U31</f>
        <v>483</v>
      </c>
      <c r="V32" s="293">
        <f>V31</f>
        <v>0.16200000000000001</v>
      </c>
      <c r="AK32" t="s">
        <v>144</v>
      </c>
      <c r="AZ32" s="44"/>
    </row>
    <row r="33" spans="4:52" ht="15" x14ac:dyDescent="0.2">
      <c r="D33" s="121"/>
      <c r="H33" s="29"/>
      <c r="I33" s="29"/>
      <c r="J33" s="29"/>
      <c r="K33" s="29"/>
      <c r="L33" s="29"/>
      <c r="N33" s="260"/>
      <c r="O33" s="120"/>
      <c r="P33" s="29" t="e">
        <f>Table_Prescript_Meas[[#This Row],[Incentive - LC (RCA)]]/Table_Prescript_Meas[[#This Row],[Deemed kWh Savings]]</f>
        <v>#DIV/0!</v>
      </c>
      <c r="Q33" s="29" t="e">
        <f>Table_Prescript_Meas[[#This Row],[Incentive - SC (RCA)]]/Table_Prescript_Meas[[#This Row],[Deemed kWh Savings]]</f>
        <v>#DIV/0!</v>
      </c>
      <c r="S33" s="121" t="s">
        <v>295</v>
      </c>
      <c r="T33" s="264" t="s">
        <v>295</v>
      </c>
      <c r="U33" s="265">
        <f>U31</f>
        <v>483</v>
      </c>
      <c r="V33" s="267">
        <f>V31</f>
        <v>0.16200000000000001</v>
      </c>
      <c r="AK33" t="s">
        <v>145</v>
      </c>
      <c r="AZ33" s="44"/>
    </row>
    <row r="34" spans="4:52" x14ac:dyDescent="0.2">
      <c r="D34" s="121"/>
      <c r="H34" s="29"/>
      <c r="I34" s="29"/>
      <c r="J34" s="29"/>
      <c r="K34" s="29"/>
      <c r="L34" s="29"/>
      <c r="N34" s="260"/>
      <c r="O34" s="120"/>
      <c r="P34" s="29" t="e">
        <f>Table_Prescript_Meas[[#This Row],[Incentive - LC (RCA)]]/Table_Prescript_Meas[[#This Row],[Deemed kWh Savings]]</f>
        <v>#DIV/0!</v>
      </c>
      <c r="Q34" s="29" t="e">
        <f>Table_Prescript_Meas[[#This Row],[Incentive - SC (RCA)]]/Table_Prescript_Meas[[#This Row],[Deemed kWh Savings]]</f>
        <v>#DIV/0!</v>
      </c>
      <c r="AK34" t="s">
        <v>147</v>
      </c>
      <c r="AZ34" s="44"/>
    </row>
    <row r="35" spans="4:52" x14ac:dyDescent="0.2">
      <c r="D35" s="121"/>
      <c r="H35" s="29"/>
      <c r="I35" s="29"/>
      <c r="J35" s="29"/>
      <c r="K35" s="29"/>
      <c r="L35" s="29"/>
      <c r="N35" s="260"/>
      <c r="O35" s="120"/>
      <c r="P35" s="29" t="e">
        <f>Table_Prescript_Meas[[#This Row],[Incentive - LC (RCA)]]/Table_Prescript_Meas[[#This Row],[Deemed kWh Savings]]</f>
        <v>#DIV/0!</v>
      </c>
      <c r="Q35" s="29" t="e">
        <f>Table_Prescript_Meas[[#This Row],[Incentive - SC (RCA)]]/Table_Prescript_Meas[[#This Row],[Deemed kWh Savings]]</f>
        <v>#DIV/0!</v>
      </c>
      <c r="AK35" t="s">
        <v>148</v>
      </c>
      <c r="AZ35" s="44"/>
    </row>
    <row r="36" spans="4:52" x14ac:dyDescent="0.2">
      <c r="D36" s="121"/>
      <c r="H36" s="29"/>
      <c r="I36" s="29"/>
      <c r="J36" s="29"/>
      <c r="K36" s="29"/>
      <c r="L36" s="29"/>
      <c r="N36" s="260"/>
      <c r="O36" s="120"/>
      <c r="P36" s="29" t="e">
        <f>Table_Prescript_Meas[[#This Row],[Incentive - LC (RCA)]]/Table_Prescript_Meas[[#This Row],[Deemed kWh Savings]]</f>
        <v>#DIV/0!</v>
      </c>
      <c r="Q36" s="29" t="e">
        <f>Table_Prescript_Meas[[#This Row],[Incentive - SC (RCA)]]/Table_Prescript_Meas[[#This Row],[Deemed kWh Savings]]</f>
        <v>#DIV/0!</v>
      </c>
      <c r="AK36" t="s">
        <v>149</v>
      </c>
      <c r="AZ36" s="44"/>
    </row>
    <row r="37" spans="4:52" x14ac:dyDescent="0.2">
      <c r="D37" s="121"/>
      <c r="H37" s="29"/>
      <c r="I37" s="29"/>
      <c r="J37" s="29"/>
      <c r="K37" s="29"/>
      <c r="L37" s="29"/>
      <c r="N37" s="260"/>
      <c r="O37" s="120"/>
      <c r="P37" s="29" t="e">
        <f>Table_Prescript_Meas[[#This Row],[Incentive - LC (RCA)]]/Table_Prescript_Meas[[#This Row],[Deemed kWh Savings]]</f>
        <v>#DIV/0!</v>
      </c>
      <c r="Q37" s="29" t="e">
        <f>Table_Prescript_Meas[[#This Row],[Incentive - SC (RCA)]]/Table_Prescript_Meas[[#This Row],[Deemed kWh Savings]]</f>
        <v>#DIV/0!</v>
      </c>
      <c r="AZ37" s="44"/>
    </row>
    <row r="38" spans="4:52" x14ac:dyDescent="0.2">
      <c r="D38" s="121"/>
      <c r="H38" s="29"/>
      <c r="I38" s="29"/>
      <c r="J38" s="29"/>
      <c r="K38" s="29"/>
      <c r="L38" s="29"/>
      <c r="N38" s="64"/>
      <c r="O38" s="120"/>
      <c r="P38" s="29" t="e">
        <f>Table_Prescript_Meas[[#This Row],[Incentive - LC (RCA)]]/Table_Prescript_Meas[[#This Row],[Deemed kWh Savings]]</f>
        <v>#DIV/0!</v>
      </c>
      <c r="Q38" s="29" t="e">
        <f>Table_Prescript_Meas[[#This Row],[Incentive - SC (RCA)]]/Table_Prescript_Meas[[#This Row],[Deemed kWh Savings]]</f>
        <v>#DIV/0!</v>
      </c>
      <c r="AZ38" s="44"/>
    </row>
    <row r="39" spans="4:52" x14ac:dyDescent="0.2">
      <c r="D39" s="121"/>
      <c r="H39" s="29"/>
      <c r="I39" s="29"/>
      <c r="J39" s="29"/>
      <c r="K39" s="29"/>
      <c r="L39" s="29"/>
      <c r="N39" s="260"/>
      <c r="O39" s="120"/>
      <c r="P39" s="29" t="e">
        <f>Table_Prescript_Meas[[#This Row],[Incentive - LC (RCA)]]/Table_Prescript_Meas[[#This Row],[Deemed kWh Savings]]</f>
        <v>#DIV/0!</v>
      </c>
      <c r="Q39" s="29" t="e">
        <f>Table_Prescript_Meas[[#This Row],[Incentive - SC (RCA)]]/Table_Prescript_Meas[[#This Row],[Deemed kWh Savings]]</f>
        <v>#DIV/0!</v>
      </c>
      <c r="AZ39" s="44"/>
    </row>
    <row r="40" spans="4:52" x14ac:dyDescent="0.2">
      <c r="D40" s="121"/>
      <c r="H40" s="29"/>
      <c r="I40" s="29"/>
      <c r="J40" s="29"/>
      <c r="K40" s="29"/>
      <c r="L40" s="29"/>
      <c r="N40" s="260"/>
      <c r="O40" s="120"/>
      <c r="P40" s="29" t="e">
        <f>Table_Prescript_Meas[[#This Row],[Incentive - LC (RCA)]]/Table_Prescript_Meas[[#This Row],[Deemed kWh Savings]]</f>
        <v>#DIV/0!</v>
      </c>
      <c r="Q40" s="29" t="e">
        <f>Table_Prescript_Meas[[#This Row],[Incentive - SC (RCA)]]/Table_Prescript_Meas[[#This Row],[Deemed kWh Savings]]</f>
        <v>#DIV/0!</v>
      </c>
      <c r="AZ40" s="44"/>
    </row>
    <row r="41" spans="4:52" x14ac:dyDescent="0.2">
      <c r="D41" s="121"/>
      <c r="H41" s="29"/>
      <c r="I41" s="29"/>
      <c r="J41" s="29"/>
      <c r="K41" s="29"/>
      <c r="L41" s="29"/>
      <c r="N41" s="260"/>
      <c r="O41" s="120"/>
      <c r="P41" s="29" t="e">
        <f>Table_Prescript_Meas[[#This Row],[Incentive - LC (RCA)]]/Table_Prescript_Meas[[#This Row],[Deemed kWh Savings]]</f>
        <v>#DIV/0!</v>
      </c>
      <c r="Q41" s="29" t="e">
        <f>Table_Prescript_Meas[[#This Row],[Incentive - SC (RCA)]]/Table_Prescript_Meas[[#This Row],[Deemed kWh Savings]]</f>
        <v>#DIV/0!</v>
      </c>
      <c r="AZ41" s="44"/>
    </row>
    <row r="42" spans="4:52" x14ac:dyDescent="0.2">
      <c r="D42" s="121"/>
      <c r="H42" s="29"/>
      <c r="I42" s="29"/>
      <c r="J42" s="29"/>
      <c r="K42" s="29"/>
      <c r="L42" s="29"/>
      <c r="N42" s="260"/>
      <c r="O42" s="120"/>
      <c r="P42" s="29" t="e">
        <f>Table_Prescript_Meas[[#This Row],[Incentive - LC (RCA)]]/Table_Prescript_Meas[[#This Row],[Deemed kWh Savings]]</f>
        <v>#DIV/0!</v>
      </c>
      <c r="Q42" s="29" t="e">
        <f>Table_Prescript_Meas[[#This Row],[Incentive - SC (RCA)]]/Table_Prescript_Meas[[#This Row],[Deemed kWh Savings]]</f>
        <v>#DIV/0!</v>
      </c>
      <c r="T42" t="s">
        <v>491</v>
      </c>
    </row>
    <row r="43" spans="4:52" ht="15" x14ac:dyDescent="0.2">
      <c r="D43" s="121"/>
      <c r="H43" s="29"/>
      <c r="I43" s="29"/>
      <c r="J43" s="29"/>
      <c r="K43" s="29"/>
      <c r="L43" s="29"/>
      <c r="N43" s="260"/>
      <c r="O43" s="120"/>
      <c r="P43" s="29" t="e">
        <f>Table_Prescript_Meas[[#This Row],[Incentive - LC (RCA)]]/Table_Prescript_Meas[[#This Row],[Deemed kWh Savings]]</f>
        <v>#DIV/0!</v>
      </c>
      <c r="Q43" s="29" t="e">
        <f>Table_Prescript_Meas[[#This Row],[Incentive - SC (RCA)]]/Table_Prescript_Meas[[#This Row],[Deemed kWh Savings]]</f>
        <v>#DIV/0!</v>
      </c>
      <c r="S43" s="121" t="s">
        <v>419</v>
      </c>
      <c r="T43" s="268" t="s">
        <v>420</v>
      </c>
    </row>
    <row r="44" spans="4:52" ht="15" x14ac:dyDescent="0.2">
      <c r="D44" s="121"/>
      <c r="H44" s="29"/>
      <c r="I44" s="29"/>
      <c r="J44" s="29"/>
      <c r="K44" s="29"/>
      <c r="L44" s="29"/>
      <c r="N44" s="260"/>
      <c r="O44" s="120"/>
      <c r="P44" s="29" t="e">
        <f>Table_Prescript_Meas[[#This Row],[Incentive - LC (RCA)]]/Table_Prescript_Meas[[#This Row],[Deemed kWh Savings]]</f>
        <v>#DIV/0!</v>
      </c>
      <c r="Q44" s="29" t="e">
        <f>Table_Prescript_Meas[[#This Row],[Incentive - SC (RCA)]]/Table_Prescript_Meas[[#This Row],[Deemed kWh Savings]]</f>
        <v>#DIV/0!</v>
      </c>
      <c r="S44" s="121" t="s">
        <v>421</v>
      </c>
      <c r="T44" s="268" t="s">
        <v>422</v>
      </c>
    </row>
    <row r="45" spans="4:52" x14ac:dyDescent="0.2">
      <c r="D45" s="121"/>
      <c r="H45" s="29"/>
      <c r="I45" s="29"/>
      <c r="J45" s="29"/>
      <c r="K45" s="29"/>
      <c r="L45" s="29"/>
      <c r="N45" s="260"/>
      <c r="O45" s="120"/>
      <c r="P45" s="29" t="e">
        <f>Table_Prescript_Meas[[#This Row],[Incentive - LC (RCA)]]/Table_Prescript_Meas[[#This Row],[Deemed kWh Savings]]</f>
        <v>#DIV/0!</v>
      </c>
      <c r="Q45" s="29" t="e">
        <f>Table_Prescript_Meas[[#This Row],[Incentive - SC (RCA)]]/Table_Prescript_Meas[[#This Row],[Deemed kWh Savings]]</f>
        <v>#DIV/0!</v>
      </c>
    </row>
    <row r="46" spans="4:52" ht="15" x14ac:dyDescent="0.2">
      <c r="D46" s="121"/>
      <c r="H46" s="29"/>
      <c r="I46" s="29"/>
      <c r="J46" s="29"/>
      <c r="K46" s="29"/>
      <c r="L46" s="29"/>
      <c r="N46" s="260"/>
      <c r="O46" s="120"/>
      <c r="P46" s="29" t="e">
        <f>Table_Prescript_Meas[[#This Row],[Incentive - LC (RCA)]]/Table_Prescript_Meas[[#This Row],[Deemed kWh Savings]]</f>
        <v>#DIV/0!</v>
      </c>
      <c r="Q46" s="29" t="e">
        <f>Table_Prescript_Meas[[#This Row],[Incentive - SC (RCA)]]/Table_Prescript_Meas[[#This Row],[Deemed kWh Savings]]</f>
        <v>#DIV/0!</v>
      </c>
      <c r="R46" s="121"/>
      <c r="S46" s="121"/>
      <c r="T46" s="383" t="s">
        <v>488</v>
      </c>
      <c r="U46" s="383"/>
      <c r="V46" s="383"/>
      <c r="W46" s="121"/>
      <c r="X46" s="121"/>
    </row>
    <row r="47" spans="4:52" ht="30" x14ac:dyDescent="0.2">
      <c r="D47" s="121"/>
      <c r="H47" s="29"/>
      <c r="I47" s="29"/>
      <c r="J47" s="29"/>
      <c r="K47" s="29"/>
      <c r="L47" s="29"/>
      <c r="N47" s="260"/>
      <c r="O47" s="120"/>
      <c r="P47" s="29" t="e">
        <f>Table_Prescript_Meas[[#This Row],[Incentive - LC (RCA)]]/Table_Prescript_Meas[[#This Row],[Deemed kWh Savings]]</f>
        <v>#DIV/0!</v>
      </c>
      <c r="Q47" s="29" t="e">
        <f>Table_Prescript_Meas[[#This Row],[Incentive - SC (RCA)]]/Table_Prescript_Meas[[#This Row],[Deemed kWh Savings]]</f>
        <v>#DIV/0!</v>
      </c>
      <c r="R47" s="121"/>
      <c r="S47" s="121"/>
      <c r="T47" s="262" t="s">
        <v>423</v>
      </c>
      <c r="U47" s="269" t="s">
        <v>424</v>
      </c>
      <c r="V47" s="269"/>
      <c r="W47" s="269" t="s">
        <v>425</v>
      </c>
      <c r="X47" s="269"/>
    </row>
    <row r="48" spans="4:52" ht="15" x14ac:dyDescent="0.2">
      <c r="D48" s="121"/>
      <c r="H48" s="29"/>
      <c r="I48" s="29"/>
      <c r="J48" s="29"/>
      <c r="K48" s="29"/>
      <c r="L48" s="29"/>
      <c r="N48" s="260"/>
      <c r="O48" s="120"/>
      <c r="P48" s="29" t="e">
        <f>Table_Prescript_Meas[[#This Row],[Incentive - LC (RCA)]]/Table_Prescript_Meas[[#This Row],[Deemed kWh Savings]]</f>
        <v>#DIV/0!</v>
      </c>
      <c r="Q48" s="29" t="e">
        <f>Table_Prescript_Meas[[#This Row],[Incentive - SC (RCA)]]/Table_Prescript_Meas[[#This Row],[Deemed kWh Savings]]</f>
        <v>#DIV/0!</v>
      </c>
      <c r="R48" s="121"/>
      <c r="S48" s="115">
        <f>65000/12000</f>
        <v>5.416666666666667</v>
      </c>
      <c r="T48" s="270" t="s">
        <v>426</v>
      </c>
      <c r="U48" s="271">
        <v>11.8</v>
      </c>
      <c r="V48" s="272"/>
      <c r="W48" s="113">
        <f>(1-AVERAGE($U$82,$U$93))*U48</f>
        <v>10.583125000000001</v>
      </c>
      <c r="X48" s="113"/>
    </row>
    <row r="49" spans="4:24" s="121" customFormat="1" ht="15" x14ac:dyDescent="0.2">
      <c r="E49" s="98"/>
      <c r="F49" s="97"/>
      <c r="H49" s="29"/>
      <c r="I49" s="29"/>
      <c r="J49" s="29"/>
      <c r="K49" s="29"/>
      <c r="L49" s="29"/>
      <c r="N49" s="35"/>
      <c r="O49" s="120"/>
      <c r="P49" s="29" t="e">
        <f>Table_Prescript_Meas[[#This Row],[Incentive - LC (RCA)]]/Table_Prescript_Meas[[#This Row],[Deemed kWh Savings]]</f>
        <v>#DIV/0!</v>
      </c>
      <c r="Q49" s="29" t="e">
        <f>Table_Prescript_Meas[[#This Row],[Incentive - SC (RCA)]]/Table_Prescript_Meas[[#This Row],[Deemed kWh Savings]]</f>
        <v>#DIV/0!</v>
      </c>
      <c r="S49" s="115">
        <f>135000/12000</f>
        <v>11.25</v>
      </c>
      <c r="T49" s="273" t="s">
        <v>427</v>
      </c>
      <c r="U49" s="271">
        <v>11</v>
      </c>
      <c r="V49" s="272"/>
      <c r="W49" s="113">
        <f>(1-AVERAGE($U$82,$U$93))*U49</f>
        <v>9.8656249999999996</v>
      </c>
      <c r="X49" s="113"/>
    </row>
    <row r="50" spans="4:24" s="121" customFormat="1" ht="15" x14ac:dyDescent="0.2">
      <c r="E50" s="98"/>
      <c r="F50" s="97"/>
      <c r="H50" s="29"/>
      <c r="I50" s="29"/>
      <c r="J50" s="29"/>
      <c r="K50" s="29"/>
      <c r="L50" s="29"/>
      <c r="N50" s="260"/>
      <c r="O50" s="120"/>
      <c r="P50" s="29" t="e">
        <f>Table_Prescript_Meas[[#This Row],[Incentive - LC (RCA)]]/Table_Prescript_Meas[[#This Row],[Deemed kWh Savings]]</f>
        <v>#DIV/0!</v>
      </c>
      <c r="Q50" s="29" t="e">
        <f>Table_Prescript_Meas[[#This Row],[Incentive - SC (RCA)]]/Table_Prescript_Meas[[#This Row],[Deemed kWh Savings]]</f>
        <v>#DIV/0!</v>
      </c>
      <c r="R50" s="121">
        <v>19.989999999999998</v>
      </c>
      <c r="S50" s="115">
        <f>240000/12000</f>
        <v>20</v>
      </c>
      <c r="T50" s="273" t="s">
        <v>428</v>
      </c>
      <c r="U50" s="271">
        <v>10.8</v>
      </c>
      <c r="V50" s="272"/>
      <c r="W50" s="113">
        <f>(1-AVERAGE($U$82,$U$93))*U50</f>
        <v>9.6862500000000011</v>
      </c>
      <c r="X50" s="113"/>
    </row>
    <row r="51" spans="4:24" s="121" customFormat="1" ht="15" x14ac:dyDescent="0.2">
      <c r="E51" s="98"/>
      <c r="F51" s="97"/>
      <c r="H51" s="29"/>
      <c r="I51" s="29"/>
      <c r="J51" s="29"/>
      <c r="K51" s="29"/>
      <c r="L51" s="29"/>
      <c r="N51" s="260"/>
      <c r="O51" s="120"/>
      <c r="P51" s="29" t="e">
        <f>Table_Prescript_Meas[[#This Row],[Incentive - LC (RCA)]]/Table_Prescript_Meas[[#This Row],[Deemed kWh Savings]]</f>
        <v>#DIV/0!</v>
      </c>
      <c r="Q51" s="29" t="e">
        <f>Table_Prescript_Meas[[#This Row],[Incentive - SC (RCA)]]/Table_Prescript_Meas[[#This Row],[Deemed kWh Savings]]</f>
        <v>#DIV/0!</v>
      </c>
      <c r="S51" s="115">
        <f>760000/12000</f>
        <v>63.333333333333336</v>
      </c>
      <c r="T51" s="273" t="s">
        <v>429</v>
      </c>
      <c r="U51" s="271">
        <v>9.8000000000000007</v>
      </c>
      <c r="V51" s="272"/>
      <c r="W51" s="113">
        <f>(1-AVERAGE($U$82,$U$93))*U51</f>
        <v>8.7893749999999997</v>
      </c>
      <c r="X51" s="113"/>
    </row>
    <row r="52" spans="4:24" s="121" customFormat="1" x14ac:dyDescent="0.2">
      <c r="E52" s="98"/>
      <c r="F52" s="97"/>
      <c r="H52" s="29"/>
      <c r="I52" s="29"/>
      <c r="J52" s="29"/>
      <c r="K52" s="29"/>
      <c r="L52" s="29"/>
      <c r="N52" s="260"/>
      <c r="O52" s="120"/>
      <c r="P52" s="29" t="e">
        <f>Table_Prescript_Meas[[#This Row],[Incentive - LC (RCA)]]/Table_Prescript_Meas[[#This Row],[Deemed kWh Savings]]</f>
        <v>#DIV/0!</v>
      </c>
      <c r="Q52" s="29" t="e">
        <f>Table_Prescript_Meas[[#This Row],[Incentive - SC (RCA)]]/Table_Prescript_Meas[[#This Row],[Deemed kWh Savings]]</f>
        <v>#DIV/0!</v>
      </c>
    </row>
    <row r="53" spans="4:24" s="121" customFormat="1" ht="15" x14ac:dyDescent="0.25">
      <c r="E53" s="98"/>
      <c r="F53" s="97"/>
      <c r="H53" s="29"/>
      <c r="I53" s="29"/>
      <c r="J53" s="29"/>
      <c r="K53" s="29"/>
      <c r="L53" s="29"/>
      <c r="N53" s="260"/>
      <c r="O53" s="120"/>
      <c r="P53" s="29" t="e">
        <f>Table_Prescript_Meas[[#This Row],[Incentive - LC (RCA)]]/Table_Prescript_Meas[[#This Row],[Deemed kWh Savings]]</f>
        <v>#DIV/0!</v>
      </c>
      <c r="Q53" s="29" t="e">
        <f>Table_Prescript_Meas[[#This Row],[Incentive - SC (RCA)]]/Table_Prescript_Meas[[#This Row],[Deemed kWh Savings]]</f>
        <v>#DIV/0!</v>
      </c>
      <c r="T53" s="384" t="s">
        <v>489</v>
      </c>
      <c r="U53" s="384"/>
      <c r="V53" s="384"/>
    </row>
    <row r="54" spans="4:24" s="121" customFormat="1" ht="30" x14ac:dyDescent="0.2">
      <c r="E54" s="98"/>
      <c r="F54" s="97"/>
      <c r="H54" s="29"/>
      <c r="I54" s="29"/>
      <c r="J54" s="29"/>
      <c r="K54" s="29"/>
      <c r="L54" s="29"/>
      <c r="N54" s="260"/>
      <c r="O54" s="120"/>
      <c r="P54" s="29" t="e">
        <f>Table_Prescript_Meas[[#This Row],[Incentive - LC (RCA)]]/Table_Prescript_Meas[[#This Row],[Deemed kWh Savings]]</f>
        <v>#DIV/0!</v>
      </c>
      <c r="Q54" s="29" t="e">
        <f>Table_Prescript_Meas[[#This Row],[Incentive - SC (RCA)]]/Table_Prescript_Meas[[#This Row],[Deemed kWh Savings]]</f>
        <v>#DIV/0!</v>
      </c>
      <c r="T54" s="262" t="s">
        <v>423</v>
      </c>
      <c r="U54" s="263" t="s">
        <v>424</v>
      </c>
      <c r="V54" s="269" t="s">
        <v>430</v>
      </c>
      <c r="W54" s="269" t="s">
        <v>425</v>
      </c>
      <c r="X54" s="269" t="s">
        <v>431</v>
      </c>
    </row>
    <row r="55" spans="4:24" s="121" customFormat="1" ht="15" x14ac:dyDescent="0.2">
      <c r="E55" s="98"/>
      <c r="F55" s="97"/>
      <c r="H55" s="29"/>
      <c r="I55" s="29"/>
      <c r="J55" s="29"/>
      <c r="K55" s="29"/>
      <c r="L55" s="29"/>
      <c r="N55" s="260"/>
      <c r="O55" s="120"/>
      <c r="P55" s="29" t="e">
        <f>Table_Prescript_Meas[[#This Row],[Incentive - LC (RCA)]]/Table_Prescript_Meas[[#This Row],[Deemed kWh Savings]]</f>
        <v>#DIV/0!</v>
      </c>
      <c r="Q55" s="29" t="e">
        <f>Table_Prescript_Meas[[#This Row],[Incentive - SC (RCA)]]/Table_Prescript_Meas[[#This Row],[Deemed kWh Savings]]</f>
        <v>#DIV/0!</v>
      </c>
      <c r="S55" s="115">
        <f>65000/12000</f>
        <v>5.416666666666667</v>
      </c>
      <c r="T55" s="270" t="s">
        <v>426</v>
      </c>
      <c r="U55" s="271">
        <v>11.8</v>
      </c>
      <c r="V55" s="272">
        <f>AVERAGE($W$64:$W$65)</f>
        <v>8.1</v>
      </c>
      <c r="W55" s="113">
        <f>(1-AVERAGE($U$82,$U$93))*U55</f>
        <v>10.583125000000001</v>
      </c>
      <c r="X55" s="113">
        <f>(1-AVERAGE($U$93,$U$82))*V55</f>
        <v>7.2646874999999991</v>
      </c>
    </row>
    <row r="56" spans="4:24" s="121" customFormat="1" ht="15" x14ac:dyDescent="0.2">
      <c r="E56" s="98"/>
      <c r="F56" s="97"/>
      <c r="H56" s="29"/>
      <c r="I56" s="29"/>
      <c r="J56" s="29"/>
      <c r="K56" s="29"/>
      <c r="L56" s="29"/>
      <c r="N56" s="260"/>
      <c r="O56" s="120"/>
      <c r="P56" s="29" t="e">
        <f>Table_Prescript_Meas[[#This Row],[Incentive - LC (RCA)]]/Table_Prescript_Meas[[#This Row],[Deemed kWh Savings]]</f>
        <v>#DIV/0!</v>
      </c>
      <c r="Q56" s="29" t="e">
        <f>Table_Prescript_Meas[[#This Row],[Incentive - SC (RCA)]]/Table_Prescript_Meas[[#This Row],[Deemed kWh Savings]]</f>
        <v>#DIV/0!</v>
      </c>
      <c r="S56" s="115">
        <f>135000/12000</f>
        <v>11.25</v>
      </c>
      <c r="T56" s="273" t="s">
        <v>427</v>
      </c>
      <c r="U56" s="271">
        <v>10.8</v>
      </c>
      <c r="V56" s="272">
        <f>$W$66</f>
        <v>11.3</v>
      </c>
      <c r="W56" s="113">
        <f>(1-AVERAGE($U$82,$U$93))*U56</f>
        <v>9.6862500000000011</v>
      </c>
      <c r="X56" s="113">
        <f>(1-AVERAGE($U$93,$U$82))*V56</f>
        <v>10.1346875</v>
      </c>
    </row>
    <row r="57" spans="4:24" ht="15" x14ac:dyDescent="0.2">
      <c r="D57" s="121"/>
      <c r="H57" s="29"/>
      <c r="I57" s="29"/>
      <c r="J57" s="29"/>
      <c r="K57" s="29"/>
      <c r="L57" s="29"/>
      <c r="N57" s="260"/>
      <c r="O57" s="120"/>
      <c r="P57" s="29" t="e">
        <f>Table_Prescript_Meas[[#This Row],[Incentive - LC (RCA)]]/Table_Prescript_Meas[[#This Row],[Deemed kWh Savings]]</f>
        <v>#DIV/0!</v>
      </c>
      <c r="Q57" s="29" t="e">
        <f>Table_Prescript_Meas[[#This Row],[Incentive - SC (RCA)]]/Table_Prescript_Meas[[#This Row],[Deemed kWh Savings]]</f>
        <v>#DIV/0!</v>
      </c>
      <c r="R57" s="121">
        <v>19.989999999999998</v>
      </c>
      <c r="S57" s="115">
        <f>240000/12000</f>
        <v>20</v>
      </c>
      <c r="T57" s="273" t="s">
        <v>428</v>
      </c>
      <c r="U57" s="271">
        <v>10.4</v>
      </c>
      <c r="V57" s="272">
        <f>$W$68</f>
        <v>10.9</v>
      </c>
      <c r="W57" s="113">
        <f>(1-AVERAGE($U$82,$U$93))*U57</f>
        <v>9.3275000000000006</v>
      </c>
      <c r="X57" s="113">
        <f>(1-AVERAGE($U$93,$U$82))*V57</f>
        <v>9.7759374999999995</v>
      </c>
    </row>
    <row r="58" spans="4:24" ht="15" x14ac:dyDescent="0.2">
      <c r="D58" s="121"/>
      <c r="H58" s="29"/>
      <c r="I58" s="29"/>
      <c r="J58" s="29"/>
      <c r="K58" s="29"/>
      <c r="L58" s="29"/>
      <c r="N58" s="260"/>
      <c r="O58" s="120"/>
      <c r="P58" s="29" t="e">
        <f>Table_Prescript_Meas[[#This Row],[Incentive - LC (RCA)]]/Table_Prescript_Meas[[#This Row],[Deemed kWh Savings]]</f>
        <v>#DIV/0!</v>
      </c>
      <c r="Q58" s="29" t="e">
        <f>Table_Prescript_Meas[[#This Row],[Incentive - SC (RCA)]]/Table_Prescript_Meas[[#This Row],[Deemed kWh Savings]]</f>
        <v>#DIV/0!</v>
      </c>
      <c r="R58" s="121"/>
      <c r="S58" s="115">
        <f>760000/12000</f>
        <v>63.333333333333336</v>
      </c>
      <c r="T58" s="273" t="s">
        <v>432</v>
      </c>
      <c r="U58" s="271">
        <v>9.3000000000000007</v>
      </c>
      <c r="V58" s="272">
        <f>$W$68</f>
        <v>10.9</v>
      </c>
      <c r="W58" s="113">
        <f>(1-AVERAGE($U$82,$U$93))*U58</f>
        <v>8.3409375000000008</v>
      </c>
      <c r="X58" s="113">
        <f>(1-AVERAGE($U$93,$U$82))*V58</f>
        <v>9.7759374999999995</v>
      </c>
    </row>
    <row r="59" spans="4:24" x14ac:dyDescent="0.2">
      <c r="D59" s="121"/>
      <c r="H59" s="29"/>
      <c r="I59" s="29"/>
      <c r="J59" s="29"/>
      <c r="K59" s="29"/>
      <c r="L59" s="29"/>
      <c r="N59" s="260"/>
      <c r="O59" s="120"/>
      <c r="P59" s="29" t="e">
        <f>Table_Prescript_Meas[[#This Row],[Incentive - LC (RCA)]]/Table_Prescript_Meas[[#This Row],[Deemed kWh Savings]]</f>
        <v>#DIV/0!</v>
      </c>
      <c r="Q59" s="29" t="e">
        <f>Table_Prescript_Meas[[#This Row],[Incentive - SC (RCA)]]/Table_Prescript_Meas[[#This Row],[Deemed kWh Savings]]</f>
        <v>#DIV/0!</v>
      </c>
      <c r="R59" s="121"/>
      <c r="S59" s="121"/>
      <c r="T59" s="121"/>
      <c r="U59" s="121"/>
      <c r="V59" s="121"/>
      <c r="W59" s="121"/>
      <c r="X59" s="121"/>
    </row>
    <row r="60" spans="4:24" x14ac:dyDescent="0.2">
      <c r="D60" s="121"/>
      <c r="H60" s="114"/>
      <c r="I60" s="114"/>
      <c r="J60" s="114"/>
      <c r="K60" s="114"/>
      <c r="L60" s="114"/>
      <c r="N60" s="260"/>
      <c r="O60" s="120"/>
      <c r="P60" s="29" t="e">
        <f>Table_Prescript_Meas[[#This Row],[Incentive - LC (RCA)]]/Table_Prescript_Meas[[#This Row],[Deemed kWh Savings]]</f>
        <v>#DIV/0!</v>
      </c>
      <c r="Q60" s="29" t="e">
        <f>Table_Prescript_Meas[[#This Row],[Incentive - SC (RCA)]]/Table_Prescript_Meas[[#This Row],[Deemed kWh Savings]]</f>
        <v>#DIV/0!</v>
      </c>
      <c r="R60" s="121"/>
      <c r="S60" s="121"/>
      <c r="T60" s="121"/>
      <c r="U60" s="121"/>
      <c r="V60" s="121"/>
      <c r="W60" s="121"/>
      <c r="X60" s="121"/>
    </row>
    <row r="61" spans="4:24" x14ac:dyDescent="0.2">
      <c r="D61" s="121"/>
      <c r="H61" s="29"/>
      <c r="I61" s="29"/>
      <c r="J61" s="29"/>
      <c r="K61" s="29"/>
      <c r="L61" s="29"/>
      <c r="N61" s="260"/>
      <c r="O61" s="120"/>
      <c r="P61" s="29" t="e">
        <f>Table_Prescript_Meas[[#This Row],[Incentive - LC (RCA)]]/Table_Prescript_Meas[[#This Row],[Deemed kWh Savings]]</f>
        <v>#DIV/0!</v>
      </c>
      <c r="Q61" s="29" t="e">
        <f>Table_Prescript_Meas[[#This Row],[Incentive - SC (RCA)]]/Table_Prescript_Meas[[#This Row],[Deemed kWh Savings]]</f>
        <v>#DIV/0!</v>
      </c>
      <c r="R61" s="121"/>
      <c r="S61" s="121"/>
      <c r="T61" s="121"/>
      <c r="U61" s="121"/>
      <c r="V61" s="121"/>
      <c r="W61" s="121"/>
      <c r="X61" s="121"/>
    </row>
    <row r="62" spans="4:24" ht="30" x14ac:dyDescent="0.2">
      <c r="D62" s="121"/>
      <c r="H62" s="29"/>
      <c r="I62" s="29"/>
      <c r="J62" s="29"/>
      <c r="K62" s="29"/>
      <c r="L62" s="29"/>
      <c r="N62" s="260"/>
      <c r="O62" s="120"/>
      <c r="P62" s="29" t="e">
        <f>Table_Prescript_Meas[[#This Row],[Incentive - LC (RCA)]]/Table_Prescript_Meas[[#This Row],[Deemed kWh Savings]]</f>
        <v>#DIV/0!</v>
      </c>
      <c r="Q62" s="29" t="e">
        <f>Table_Prescript_Meas[[#This Row],[Incentive - SC (RCA)]]/Table_Prescript_Meas[[#This Row],[Deemed kWh Savings]]</f>
        <v>#DIV/0!</v>
      </c>
      <c r="R62" s="121"/>
      <c r="S62" s="121"/>
      <c r="T62" s="274" t="s">
        <v>490</v>
      </c>
      <c r="U62" s="274"/>
      <c r="V62" s="274"/>
      <c r="W62" s="274"/>
      <c r="X62" s="274"/>
    </row>
    <row r="63" spans="4:24" ht="45" x14ac:dyDescent="0.2">
      <c r="D63" s="121"/>
      <c r="H63" s="29"/>
      <c r="I63" s="29"/>
      <c r="J63" s="29"/>
      <c r="K63" s="29"/>
      <c r="L63" s="29"/>
      <c r="N63" s="260"/>
      <c r="O63" s="120"/>
      <c r="P63" s="29" t="e">
        <f>Table_Prescript_Meas[[#This Row],[Incentive - LC (RCA)]]/Table_Prescript_Meas[[#This Row],[Deemed kWh Savings]]</f>
        <v>#DIV/0!</v>
      </c>
      <c r="Q63" s="29" t="e">
        <f>Table_Prescript_Meas[[#This Row],[Incentive - SC (RCA)]]/Table_Prescript_Meas[[#This Row],[Deemed kWh Savings]]</f>
        <v>#DIV/0!</v>
      </c>
      <c r="R63" s="121"/>
      <c r="S63" s="121"/>
      <c r="T63" s="263" t="s">
        <v>423</v>
      </c>
      <c r="U63" s="275" t="s">
        <v>433</v>
      </c>
      <c r="V63" s="275"/>
      <c r="W63" s="275" t="s">
        <v>430</v>
      </c>
      <c r="X63" s="275"/>
    </row>
    <row r="64" spans="4:24" ht="14.25" x14ac:dyDescent="0.2">
      <c r="D64" s="121"/>
      <c r="H64" s="29"/>
      <c r="I64" s="29"/>
      <c r="J64" s="29"/>
      <c r="K64" s="29"/>
      <c r="L64" s="29"/>
      <c r="N64" s="260"/>
      <c r="O64" s="120"/>
      <c r="P64" s="29" t="e">
        <f>Table_Prescript_Meas[[#This Row],[Incentive - LC (RCA)]]/Table_Prescript_Meas[[#This Row],[Deemed kWh Savings]]</f>
        <v>#DIV/0!</v>
      </c>
      <c r="Q64" s="29" t="e">
        <f>Table_Prescript_Meas[[#This Row],[Incentive - SC (RCA)]]/Table_Prescript_Meas[[#This Row],[Deemed kWh Savings]]</f>
        <v>#DIV/0!</v>
      </c>
      <c r="R64" s="121"/>
      <c r="S64" s="121"/>
      <c r="T64" s="371" t="s">
        <v>426</v>
      </c>
      <c r="U64" s="276" t="s">
        <v>434</v>
      </c>
      <c r="V64" s="276"/>
      <c r="W64" s="277">
        <v>8.1999999999999993</v>
      </c>
      <c r="X64" s="276"/>
    </row>
    <row r="65" spans="4:24" ht="14.25" x14ac:dyDescent="0.2">
      <c r="D65" s="121"/>
      <c r="H65" s="29"/>
      <c r="I65" s="29"/>
      <c r="J65" s="29"/>
      <c r="K65" s="29"/>
      <c r="L65" s="29"/>
      <c r="N65" s="260"/>
      <c r="O65" s="120"/>
      <c r="P65" s="29" t="e">
        <f>Table_Prescript_Meas[[#This Row],[Incentive - LC (RCA)]]/Table_Prescript_Meas[[#This Row],[Deemed kWh Savings]]</f>
        <v>#DIV/0!</v>
      </c>
      <c r="Q65" s="29" t="e">
        <f>Table_Prescript_Meas[[#This Row],[Incentive - SC (RCA)]]/Table_Prescript_Meas[[#This Row],[Deemed kWh Savings]]</f>
        <v>#DIV/0!</v>
      </c>
      <c r="R65" s="121"/>
      <c r="S65" s="121"/>
      <c r="T65" s="372"/>
      <c r="U65" s="276" t="s">
        <v>435</v>
      </c>
      <c r="V65" s="276"/>
      <c r="W65" s="277">
        <v>8</v>
      </c>
      <c r="X65" s="276"/>
    </row>
    <row r="66" spans="4:24" ht="30" x14ac:dyDescent="0.2">
      <c r="D66" s="121"/>
      <c r="H66" s="29"/>
      <c r="I66" s="29"/>
      <c r="J66" s="29"/>
      <c r="K66" s="29"/>
      <c r="L66" s="29"/>
      <c r="N66" s="260"/>
      <c r="O66" s="120"/>
      <c r="P66" s="29" t="e">
        <f>Table_Prescript_Meas[[#This Row],[Incentive - LC (RCA)]]/Table_Prescript_Meas[[#This Row],[Deemed kWh Savings]]</f>
        <v>#DIV/0!</v>
      </c>
      <c r="Q66" s="29" t="e">
        <f>Table_Prescript_Meas[[#This Row],[Incentive - SC (RCA)]]/Table_Prescript_Meas[[#This Row],[Deemed kWh Savings]]</f>
        <v>#DIV/0!</v>
      </c>
      <c r="R66" s="121"/>
      <c r="S66" s="121"/>
      <c r="T66" s="373" t="s">
        <v>427</v>
      </c>
      <c r="U66" s="278" t="s">
        <v>436</v>
      </c>
      <c r="V66" s="278"/>
      <c r="W66" s="277">
        <v>11.3</v>
      </c>
      <c r="X66" s="276"/>
    </row>
    <row r="67" spans="4:24" ht="30" x14ac:dyDescent="0.2">
      <c r="D67" s="121"/>
      <c r="H67" s="29"/>
      <c r="I67" s="29"/>
      <c r="J67" s="29"/>
      <c r="K67" s="29"/>
      <c r="L67" s="29"/>
      <c r="N67" s="260"/>
      <c r="O67" s="120"/>
      <c r="P67" s="29" t="e">
        <f>Table_Prescript_Meas[[#This Row],[Incentive - LC (RCA)]]/Table_Prescript_Meas[[#This Row],[Deemed kWh Savings]]</f>
        <v>#DIV/0!</v>
      </c>
      <c r="Q67" s="29" t="e">
        <f>Table_Prescript_Meas[[#This Row],[Incentive - SC (RCA)]]/Table_Prescript_Meas[[#This Row],[Deemed kWh Savings]]</f>
        <v>#DIV/0!</v>
      </c>
      <c r="R67" s="121"/>
      <c r="S67" s="121"/>
      <c r="T67" s="374"/>
      <c r="U67" s="278" t="s">
        <v>437</v>
      </c>
      <c r="V67" s="278"/>
      <c r="W67" s="277">
        <v>7.7</v>
      </c>
      <c r="X67" s="276"/>
    </row>
    <row r="68" spans="4:24" ht="30" x14ac:dyDescent="0.2">
      <c r="D68" s="121"/>
      <c r="H68" s="29"/>
      <c r="I68" s="29"/>
      <c r="J68" s="29"/>
      <c r="K68" s="29"/>
      <c r="L68" s="29"/>
      <c r="N68" s="260"/>
      <c r="O68" s="120"/>
      <c r="P68" s="29" t="e">
        <f>Table_Prescript_Meas[[#This Row],[Incentive - LC (RCA)]]/Table_Prescript_Meas[[#This Row],[Deemed kWh Savings]]</f>
        <v>#DIV/0!</v>
      </c>
      <c r="Q68" s="29" t="e">
        <f>Table_Prescript_Meas[[#This Row],[Incentive - SC (RCA)]]/Table_Prescript_Meas[[#This Row],[Deemed kWh Savings]]</f>
        <v>#DIV/0!</v>
      </c>
      <c r="R68" s="121"/>
      <c r="S68" s="121"/>
      <c r="T68" s="373" t="s">
        <v>438</v>
      </c>
      <c r="U68" s="278" t="s">
        <v>436</v>
      </c>
      <c r="V68" s="278"/>
      <c r="W68" s="277">
        <v>10.9</v>
      </c>
      <c r="X68" s="276"/>
    </row>
    <row r="69" spans="4:24" ht="30" x14ac:dyDescent="0.2">
      <c r="D69" s="121"/>
      <c r="H69" s="29"/>
      <c r="I69" s="29"/>
      <c r="J69" s="29"/>
      <c r="K69" s="29"/>
      <c r="L69" s="29"/>
      <c r="N69" s="260"/>
      <c r="O69" s="120"/>
      <c r="P69" s="29" t="e">
        <f>Table_Prescript_Meas[[#This Row],[Incentive - LC (RCA)]]/Table_Prescript_Meas[[#This Row],[Deemed kWh Savings]]</f>
        <v>#DIV/0!</v>
      </c>
      <c r="Q69" s="29" t="e">
        <f>Table_Prescript_Meas[[#This Row],[Incentive - SC (RCA)]]/Table_Prescript_Meas[[#This Row],[Deemed kWh Savings]]</f>
        <v>#DIV/0!</v>
      </c>
      <c r="R69" s="121"/>
      <c r="S69" s="121"/>
      <c r="T69" s="374"/>
      <c r="U69" s="278" t="s">
        <v>437</v>
      </c>
      <c r="V69" s="278"/>
      <c r="W69" s="277">
        <v>7</v>
      </c>
      <c r="X69" s="276"/>
    </row>
    <row r="70" spans="4:24" x14ac:dyDescent="0.2">
      <c r="D70" s="121"/>
      <c r="H70" s="29"/>
      <c r="I70" s="29"/>
      <c r="J70" s="29"/>
      <c r="K70" s="29"/>
      <c r="L70" s="29"/>
      <c r="N70" s="260"/>
      <c r="O70" s="120"/>
      <c r="P70" s="29" t="e">
        <f>Table_Prescript_Meas[[#This Row],[Incentive - LC (RCA)]]/Table_Prescript_Meas[[#This Row],[Deemed kWh Savings]]</f>
        <v>#DIV/0!</v>
      </c>
      <c r="Q70" s="29" t="e">
        <f>Table_Prescript_Meas[[#This Row],[Incentive - SC (RCA)]]/Table_Prescript_Meas[[#This Row],[Deemed kWh Savings]]</f>
        <v>#DIV/0!</v>
      </c>
      <c r="R70" s="121"/>
      <c r="S70" s="121"/>
      <c r="T70" s="121"/>
      <c r="U70" s="121"/>
      <c r="V70" s="121"/>
      <c r="W70" s="121"/>
      <c r="X70" s="121"/>
    </row>
    <row r="71" spans="4:24" ht="15" x14ac:dyDescent="0.25">
      <c r="D71" s="121"/>
      <c r="H71" s="29"/>
      <c r="I71" s="29"/>
      <c r="J71" s="29"/>
      <c r="K71" s="29"/>
      <c r="L71" s="29"/>
      <c r="N71" s="260"/>
      <c r="O71" s="120"/>
      <c r="P71" s="29" t="e">
        <f>Table_Prescript_Meas[[#This Row],[Incentive - LC (RCA)]]/Table_Prescript_Meas[[#This Row],[Deemed kWh Savings]]</f>
        <v>#DIV/0!</v>
      </c>
      <c r="Q71" s="29" t="e">
        <f>Table_Prescript_Meas[[#This Row],[Incentive - SC (RCA)]]/Table_Prescript_Meas[[#This Row],[Deemed kWh Savings]]</f>
        <v>#DIV/0!</v>
      </c>
      <c r="R71" s="121"/>
      <c r="S71" s="121"/>
      <c r="T71" s="121"/>
      <c r="U71" s="279"/>
      <c r="V71" s="279"/>
      <c r="W71" s="121"/>
      <c r="X71" s="121"/>
    </row>
    <row r="72" spans="4:24" ht="30" x14ac:dyDescent="0.25">
      <c r="D72" s="121"/>
      <c r="H72" s="29"/>
      <c r="I72" s="29"/>
      <c r="J72" s="29"/>
      <c r="K72" s="29"/>
      <c r="L72" s="29"/>
      <c r="N72" s="260"/>
      <c r="O72" s="120"/>
      <c r="P72" s="29" t="e">
        <f>Table_Prescript_Meas[[#This Row],[Incentive - LC (RCA)]]/Table_Prescript_Meas[[#This Row],[Deemed kWh Savings]]</f>
        <v>#DIV/0!</v>
      </c>
      <c r="Q72" s="29" t="e">
        <f>Table_Prescript_Meas[[#This Row],[Incentive - SC (RCA)]]/Table_Prescript_Meas[[#This Row],[Deemed kWh Savings]]</f>
        <v>#DIV/0!</v>
      </c>
      <c r="R72" s="121"/>
      <c r="S72" s="121"/>
      <c r="T72" s="280" t="s">
        <v>439</v>
      </c>
      <c r="U72" s="279"/>
      <c r="V72" s="279"/>
      <c r="W72" s="121"/>
      <c r="X72" s="121"/>
    </row>
    <row r="73" spans="4:24" ht="15" x14ac:dyDescent="0.2">
      <c r="D73" s="121"/>
      <c r="H73" s="29"/>
      <c r="I73" s="29"/>
      <c r="J73" s="29"/>
      <c r="K73" s="29"/>
      <c r="L73" s="29"/>
      <c r="N73" s="260"/>
      <c r="O73" s="120"/>
      <c r="P73" s="29" t="e">
        <f>Table_Prescript_Meas[[#This Row],[Incentive - LC (RCA)]]/Table_Prescript_Meas[[#This Row],[Deemed kWh Savings]]</f>
        <v>#DIV/0!</v>
      </c>
      <c r="Q73" s="29" t="e">
        <f>Table_Prescript_Meas[[#This Row],[Incentive - SC (RCA)]]/Table_Prescript_Meas[[#This Row],[Deemed kWh Savings]]</f>
        <v>#DIV/0!</v>
      </c>
      <c r="R73" s="121"/>
      <c r="S73" s="121"/>
      <c r="T73" s="281" t="s">
        <v>440</v>
      </c>
      <c r="U73" s="262" t="s">
        <v>441</v>
      </c>
      <c r="V73" s="282"/>
      <c r="W73" s="121"/>
      <c r="X73" s="121"/>
    </row>
    <row r="74" spans="4:24" ht="15" x14ac:dyDescent="0.2">
      <c r="D74" s="121"/>
      <c r="H74" s="29"/>
      <c r="I74" s="29"/>
      <c r="J74" s="29"/>
      <c r="K74" s="29"/>
      <c r="L74" s="29"/>
      <c r="N74" s="260"/>
      <c r="O74" s="120"/>
      <c r="P74" s="29" t="e">
        <f>Table_Prescript_Meas[[#This Row],[Incentive - LC (RCA)]]/Table_Prescript_Meas[[#This Row],[Deemed kWh Savings]]</f>
        <v>#DIV/0!</v>
      </c>
      <c r="Q74" s="29" t="e">
        <f>Table_Prescript_Meas[[#This Row],[Incentive - SC (RCA)]]/Table_Prescript_Meas[[#This Row],[Deemed kWh Savings]]</f>
        <v>#DIV/0!</v>
      </c>
      <c r="R74" s="121"/>
      <c r="S74" s="121"/>
      <c r="T74" s="283" t="s">
        <v>442</v>
      </c>
      <c r="U74" s="284">
        <v>0.37</v>
      </c>
      <c r="V74" s="285"/>
      <c r="W74" s="121"/>
      <c r="X74" s="121"/>
    </row>
    <row r="75" spans="4:24" ht="14.25" x14ac:dyDescent="0.2">
      <c r="D75" s="121"/>
      <c r="H75" s="29"/>
      <c r="I75" s="29"/>
      <c r="J75" s="29"/>
      <c r="K75" s="29"/>
      <c r="L75" s="29"/>
      <c r="N75" s="260"/>
      <c r="O75" s="120"/>
      <c r="P75" s="29" t="e">
        <f>Table_Prescript_Meas[[#This Row],[Incentive - LC (RCA)]]/Table_Prescript_Meas[[#This Row],[Deemed kWh Savings]]</f>
        <v>#DIV/0!</v>
      </c>
      <c r="Q75" s="29" t="e">
        <f>Table_Prescript_Meas[[#This Row],[Incentive - SC (RCA)]]/Table_Prescript_Meas[[#This Row],[Deemed kWh Savings]]</f>
        <v>#DIV/0!</v>
      </c>
      <c r="R75" s="121"/>
      <c r="S75" s="121"/>
      <c r="T75" s="286">
        <v>75</v>
      </c>
      <c r="U75" s="284">
        <v>0.28999999999999998</v>
      </c>
      <c r="V75" s="282"/>
      <c r="W75" s="121"/>
      <c r="X75" s="121"/>
    </row>
    <row r="76" spans="4:24" ht="14.25" x14ac:dyDescent="0.2">
      <c r="D76" s="121"/>
      <c r="H76" s="29"/>
      <c r="I76" s="29"/>
      <c r="J76" s="29"/>
      <c r="K76" s="29"/>
      <c r="L76" s="29"/>
      <c r="N76" s="260"/>
      <c r="O76" s="120"/>
      <c r="P76" s="29" t="e">
        <f>Table_Prescript_Meas[[#This Row],[Incentive - LC (RCA)]]/Table_Prescript_Meas[[#This Row],[Deemed kWh Savings]]</f>
        <v>#DIV/0!</v>
      </c>
      <c r="Q76" s="29" t="e">
        <f>Table_Prescript_Meas[[#This Row],[Incentive - SC (RCA)]]/Table_Prescript_Meas[[#This Row],[Deemed kWh Savings]]</f>
        <v>#DIV/0!</v>
      </c>
      <c r="R76" s="121"/>
      <c r="S76" s="121"/>
      <c r="T76" s="286">
        <v>80</v>
      </c>
      <c r="U76" s="284">
        <v>0.2</v>
      </c>
      <c r="V76" s="282"/>
      <c r="W76" s="121"/>
      <c r="X76" s="121"/>
    </row>
    <row r="77" spans="4:24" ht="14.25" x14ac:dyDescent="0.2">
      <c r="D77" s="121"/>
      <c r="H77" s="29"/>
      <c r="I77" s="29"/>
      <c r="J77" s="29"/>
      <c r="K77" s="29"/>
      <c r="L77" s="29"/>
      <c r="N77" s="260"/>
      <c r="O77" s="120"/>
      <c r="P77" s="29" t="e">
        <f>Table_Prescript_Meas[[#This Row],[Incentive - LC (RCA)]]/Table_Prescript_Meas[[#This Row],[Deemed kWh Savings]]</f>
        <v>#DIV/0!</v>
      </c>
      <c r="Q77" s="29" t="e">
        <f>Table_Prescript_Meas[[#This Row],[Incentive - SC (RCA)]]/Table_Prescript_Meas[[#This Row],[Deemed kWh Savings]]</f>
        <v>#DIV/0!</v>
      </c>
      <c r="R77" s="121"/>
      <c r="S77" s="121"/>
      <c r="T77" s="286">
        <v>85</v>
      </c>
      <c r="U77" s="284">
        <v>0.15</v>
      </c>
      <c r="V77" s="121"/>
      <c r="W77" s="121"/>
      <c r="X77" s="121"/>
    </row>
    <row r="78" spans="4:24" ht="14.25" x14ac:dyDescent="0.2">
      <c r="D78" s="121"/>
      <c r="H78" s="29"/>
      <c r="I78" s="29"/>
      <c r="J78" s="29"/>
      <c r="K78" s="29"/>
      <c r="L78" s="29"/>
      <c r="N78" s="260"/>
      <c r="O78" s="120"/>
      <c r="P78" s="29" t="e">
        <f>Table_Prescript_Meas[[#This Row],[Incentive - LC (RCA)]]/Table_Prescript_Meas[[#This Row],[Deemed kWh Savings]]</f>
        <v>#DIV/0!</v>
      </c>
      <c r="Q78" s="29" t="e">
        <f>Table_Prescript_Meas[[#This Row],[Incentive - SC (RCA)]]/Table_Prescript_Meas[[#This Row],[Deemed kWh Savings]]</f>
        <v>#DIV/0!</v>
      </c>
      <c r="R78" s="121"/>
      <c r="S78" s="121"/>
      <c r="T78" s="286">
        <v>90</v>
      </c>
      <c r="U78" s="284">
        <v>0.1</v>
      </c>
      <c r="V78" s="121"/>
      <c r="W78" s="121"/>
      <c r="X78" s="121"/>
    </row>
    <row r="79" spans="4:24" ht="14.25" x14ac:dyDescent="0.2">
      <c r="D79" s="121"/>
      <c r="H79" s="29"/>
      <c r="I79" s="29"/>
      <c r="J79" s="29"/>
      <c r="K79" s="29"/>
      <c r="L79" s="29"/>
      <c r="N79" s="260"/>
      <c r="O79" s="120"/>
      <c r="P79" s="29" t="e">
        <f>Table_Prescript_Meas[[#This Row],[Incentive - LC (RCA)]]/Table_Prescript_Meas[[#This Row],[Deemed kWh Savings]]</f>
        <v>#DIV/0!</v>
      </c>
      <c r="Q79" s="29" t="e">
        <f>Table_Prescript_Meas[[#This Row],[Incentive - SC (RCA)]]/Table_Prescript_Meas[[#This Row],[Deemed kWh Savings]]</f>
        <v>#DIV/0!</v>
      </c>
      <c r="R79" s="121"/>
      <c r="S79" s="121"/>
      <c r="T79" s="286">
        <v>95</v>
      </c>
      <c r="U79" s="284">
        <v>0.05</v>
      </c>
      <c r="V79" s="121"/>
      <c r="W79" s="121"/>
      <c r="X79" s="121"/>
    </row>
    <row r="80" spans="4:24" ht="14.25" x14ac:dyDescent="0.2">
      <c r="D80" s="121"/>
      <c r="H80" s="29"/>
      <c r="I80" s="29"/>
      <c r="J80" s="29"/>
      <c r="K80" s="29"/>
      <c r="L80" s="29"/>
      <c r="N80" s="260"/>
      <c r="O80" s="120"/>
      <c r="P80" s="29" t="e">
        <f>Table_Prescript_Meas[[#This Row],[Incentive - LC (RCA)]]/Table_Prescript_Meas[[#This Row],[Deemed kWh Savings]]</f>
        <v>#DIV/0!</v>
      </c>
      <c r="Q80" s="29" t="e">
        <f>Table_Prescript_Meas[[#This Row],[Incentive - SC (RCA)]]/Table_Prescript_Meas[[#This Row],[Deemed kWh Savings]]</f>
        <v>#DIV/0!</v>
      </c>
      <c r="R80" s="121"/>
      <c r="S80" s="121"/>
      <c r="T80" s="286">
        <v>100</v>
      </c>
      <c r="U80" s="284">
        <v>0</v>
      </c>
      <c r="V80" s="121"/>
      <c r="W80" s="121"/>
      <c r="X80" s="121"/>
    </row>
    <row r="81" spans="4:24" ht="15" x14ac:dyDescent="0.2">
      <c r="D81" s="121"/>
      <c r="H81" s="29"/>
      <c r="I81" s="29"/>
      <c r="J81" s="29"/>
      <c r="K81" s="29"/>
      <c r="L81" s="29"/>
      <c r="N81" s="260"/>
      <c r="O81" s="120"/>
      <c r="P81" s="29" t="e">
        <f>Table_Prescript_Meas[[#This Row],[Incentive - LC (RCA)]]/Table_Prescript_Meas[[#This Row],[Deemed kWh Savings]]</f>
        <v>#DIV/0!</v>
      </c>
      <c r="Q81" s="29" t="e">
        <f>Table_Prescript_Meas[[#This Row],[Incentive - SC (RCA)]]/Table_Prescript_Meas[[#This Row],[Deemed kWh Savings]]</f>
        <v>#DIV/0!</v>
      </c>
      <c r="R81" s="121"/>
      <c r="S81" s="121"/>
      <c r="T81" s="283" t="s">
        <v>443</v>
      </c>
      <c r="U81" s="284">
        <v>0.03</v>
      </c>
      <c r="V81" s="121"/>
      <c r="W81" s="121"/>
      <c r="X81" s="121"/>
    </row>
    <row r="82" spans="4:24" x14ac:dyDescent="0.2">
      <c r="D82" s="121"/>
      <c r="H82" s="29"/>
      <c r="I82" s="29"/>
      <c r="J82" s="29"/>
      <c r="K82" s="29"/>
      <c r="L82" s="29"/>
      <c r="N82" s="260"/>
      <c r="O82" s="120"/>
      <c r="P82" s="29" t="e">
        <f>Table_Prescript_Meas[[#This Row],[Incentive - LC (RCA)]]/Table_Prescript_Meas[[#This Row],[Deemed kWh Savings]]</f>
        <v>#DIV/0!</v>
      </c>
      <c r="Q82" s="29" t="e">
        <f>Table_Prescript_Meas[[#This Row],[Incentive - SC (RCA)]]/Table_Prescript_Meas[[#This Row],[Deemed kWh Savings]]</f>
        <v>#DIV/0!</v>
      </c>
      <c r="R82" s="121"/>
      <c r="S82" s="121"/>
      <c r="T82" s="121"/>
      <c r="U82" s="35">
        <f>AVERAGE(U74:U81)</f>
        <v>0.14874999999999999</v>
      </c>
      <c r="V82" s="121"/>
      <c r="W82" s="121"/>
      <c r="X82" s="121"/>
    </row>
    <row r="83" spans="4:24" ht="30" x14ac:dyDescent="0.2">
      <c r="D83" s="121"/>
      <c r="H83" s="29"/>
      <c r="I83" s="29"/>
      <c r="J83" s="29"/>
      <c r="K83" s="29"/>
      <c r="L83" s="29"/>
      <c r="N83" s="260"/>
      <c r="O83" s="120"/>
      <c r="P83" s="29" t="e">
        <f>Table_Prescript_Meas[[#This Row],[Incentive - LC (RCA)]]/Table_Prescript_Meas[[#This Row],[Deemed kWh Savings]]</f>
        <v>#DIV/0!</v>
      </c>
      <c r="Q83" s="29" t="e">
        <f>Table_Prescript_Meas[[#This Row],[Incentive - SC (RCA)]]/Table_Prescript_Meas[[#This Row],[Deemed kWh Savings]]</f>
        <v>#DIV/0!</v>
      </c>
      <c r="R83" s="121"/>
      <c r="S83" s="121"/>
      <c r="T83" s="287" t="s">
        <v>444</v>
      </c>
      <c r="U83" s="274"/>
      <c r="V83" s="274"/>
      <c r="W83" s="121"/>
      <c r="X83" s="121"/>
    </row>
    <row r="84" spans="4:24" ht="15" x14ac:dyDescent="0.2">
      <c r="D84" s="121"/>
      <c r="H84" s="29"/>
      <c r="I84" s="29"/>
      <c r="J84" s="29"/>
      <c r="K84" s="29"/>
      <c r="L84" s="29"/>
      <c r="N84" s="260"/>
      <c r="O84" s="120"/>
      <c r="P84" s="29" t="e">
        <f>Table_Prescript_Meas[[#This Row],[Incentive - LC (RCA)]]/Table_Prescript_Meas[[#This Row],[Deemed kWh Savings]]</f>
        <v>#DIV/0!</v>
      </c>
      <c r="Q84" s="29" t="e">
        <f>Table_Prescript_Meas[[#This Row],[Incentive - SC (RCA)]]/Table_Prescript_Meas[[#This Row],[Deemed kWh Savings]]</f>
        <v>#DIV/0!</v>
      </c>
      <c r="R84" s="121"/>
      <c r="S84" s="121"/>
      <c r="T84" s="281" t="s">
        <v>440</v>
      </c>
      <c r="U84" s="262" t="s">
        <v>441</v>
      </c>
      <c r="V84" s="282"/>
      <c r="W84" s="121"/>
      <c r="X84" s="121"/>
    </row>
    <row r="85" spans="4:24" ht="15" x14ac:dyDescent="0.2">
      <c r="D85" s="121"/>
      <c r="H85" s="29"/>
      <c r="I85" s="29"/>
      <c r="J85" s="29"/>
      <c r="K85" s="29"/>
      <c r="L85" s="29"/>
      <c r="N85" s="260"/>
      <c r="O85" s="120"/>
      <c r="P85" s="29" t="e">
        <f>Table_Prescript_Meas[[#This Row],[Incentive - LC (RCA)]]/Table_Prescript_Meas[[#This Row],[Deemed kWh Savings]]</f>
        <v>#DIV/0!</v>
      </c>
      <c r="Q85" s="29" t="e">
        <f>Table_Prescript_Meas[[#This Row],[Incentive - SC (RCA)]]/Table_Prescript_Meas[[#This Row],[Deemed kWh Savings]]</f>
        <v>#DIV/0!</v>
      </c>
      <c r="R85" s="121"/>
      <c r="S85" s="121"/>
      <c r="T85" s="283" t="s">
        <v>442</v>
      </c>
      <c r="U85" s="288">
        <v>0.12</v>
      </c>
      <c r="V85" s="282"/>
      <c r="W85" s="121"/>
      <c r="X85" s="121"/>
    </row>
    <row r="86" spans="4:24" ht="14.25" x14ac:dyDescent="0.2">
      <c r="D86" s="121"/>
      <c r="H86" s="29"/>
      <c r="I86" s="29"/>
      <c r="J86" s="29"/>
      <c r="K86" s="29"/>
      <c r="L86" s="29"/>
      <c r="N86" s="260"/>
      <c r="O86" s="120"/>
      <c r="P86" s="29" t="e">
        <f>Table_Prescript_Meas[[#This Row],[Incentive - LC (RCA)]]/Table_Prescript_Meas[[#This Row],[Deemed kWh Savings]]</f>
        <v>#DIV/0!</v>
      </c>
      <c r="Q86" s="29" t="e">
        <f>Table_Prescript_Meas[[#This Row],[Incentive - SC (RCA)]]/Table_Prescript_Meas[[#This Row],[Deemed kWh Savings]]</f>
        <v>#DIV/0!</v>
      </c>
      <c r="R86" s="121"/>
      <c r="S86" s="121"/>
      <c r="T86" s="286">
        <v>75</v>
      </c>
      <c r="U86" s="288">
        <v>0.09</v>
      </c>
      <c r="V86" s="282"/>
      <c r="W86" s="121"/>
      <c r="X86" s="121"/>
    </row>
    <row r="87" spans="4:24" ht="14.25" x14ac:dyDescent="0.2">
      <c r="D87" s="121"/>
      <c r="H87" s="29"/>
      <c r="I87" s="29"/>
      <c r="J87" s="29"/>
      <c r="K87" s="29"/>
      <c r="L87" s="29"/>
      <c r="N87" s="260"/>
      <c r="O87" s="120"/>
      <c r="P87" s="29" t="e">
        <f>Table_Prescript_Meas[[#This Row],[Incentive - LC (RCA)]]/Table_Prescript_Meas[[#This Row],[Deemed kWh Savings]]</f>
        <v>#DIV/0!</v>
      </c>
      <c r="Q87" s="29" t="e">
        <f>Table_Prescript_Meas[[#This Row],[Incentive - SC (RCA)]]/Table_Prescript_Meas[[#This Row],[Deemed kWh Savings]]</f>
        <v>#DIV/0!</v>
      </c>
      <c r="R87" s="121"/>
      <c r="S87" s="121"/>
      <c r="T87" s="286">
        <v>80</v>
      </c>
      <c r="U87" s="288">
        <v>7.0000000000000007E-2</v>
      </c>
      <c r="V87" s="282"/>
      <c r="W87" s="121"/>
      <c r="X87" s="121"/>
    </row>
    <row r="88" spans="4:24" ht="14.25" x14ac:dyDescent="0.2">
      <c r="D88" s="121"/>
      <c r="H88" s="29"/>
      <c r="I88" s="29"/>
      <c r="J88" s="29"/>
      <c r="K88" s="29"/>
      <c r="L88" s="29"/>
      <c r="N88" s="260"/>
      <c r="O88" s="120"/>
      <c r="P88" s="29" t="e">
        <f>Table_Prescript_Meas[[#This Row],[Incentive - LC (RCA)]]/Table_Prescript_Meas[[#This Row],[Deemed kWh Savings]]</f>
        <v>#DIV/0!</v>
      </c>
      <c r="Q88" s="29" t="e">
        <f>Table_Prescript_Meas[[#This Row],[Incentive - SC (RCA)]]/Table_Prescript_Meas[[#This Row],[Deemed kWh Savings]]</f>
        <v>#DIV/0!</v>
      </c>
      <c r="R88" s="121"/>
      <c r="S88" s="121"/>
      <c r="T88" s="286">
        <v>85</v>
      </c>
      <c r="U88" s="288">
        <v>0.06</v>
      </c>
      <c r="V88" s="282"/>
      <c r="W88" s="121"/>
      <c r="X88" s="121"/>
    </row>
    <row r="89" spans="4:24" ht="14.25" x14ac:dyDescent="0.2">
      <c r="D89" s="121"/>
      <c r="H89" s="29"/>
      <c r="I89" s="29"/>
      <c r="J89" s="29"/>
      <c r="K89" s="29"/>
      <c r="L89" s="29"/>
      <c r="N89" s="260"/>
      <c r="O89" s="120"/>
      <c r="P89" s="29" t="e">
        <f>Table_Prescript_Meas[[#This Row],[Incentive - LC (RCA)]]/Table_Prescript_Meas[[#This Row],[Deemed kWh Savings]]</f>
        <v>#DIV/0!</v>
      </c>
      <c r="Q89" s="29" t="e">
        <f>Table_Prescript_Meas[[#This Row],[Incentive - SC (RCA)]]/Table_Prescript_Meas[[#This Row],[Deemed kWh Savings]]</f>
        <v>#DIV/0!</v>
      </c>
      <c r="R89" s="121"/>
      <c r="S89" s="121"/>
      <c r="T89" s="286">
        <v>90</v>
      </c>
      <c r="U89" s="288">
        <v>0.05</v>
      </c>
      <c r="V89" s="282"/>
      <c r="W89" s="121"/>
      <c r="X89" s="121"/>
    </row>
    <row r="90" spans="4:24" ht="14.25" x14ac:dyDescent="0.2">
      <c r="D90" s="121"/>
      <c r="H90" s="29"/>
      <c r="I90" s="29"/>
      <c r="J90" s="29"/>
      <c r="K90" s="29"/>
      <c r="L90" s="29"/>
      <c r="N90" s="260"/>
      <c r="O90" s="120"/>
      <c r="P90" s="29" t="e">
        <f>Table_Prescript_Meas[[#This Row],[Incentive - LC (RCA)]]/Table_Prescript_Meas[[#This Row],[Deemed kWh Savings]]</f>
        <v>#DIV/0!</v>
      </c>
      <c r="Q90" s="29" t="e">
        <f>Table_Prescript_Meas[[#This Row],[Incentive - SC (RCA)]]/Table_Prescript_Meas[[#This Row],[Deemed kWh Savings]]</f>
        <v>#DIV/0!</v>
      </c>
      <c r="R90" s="121"/>
      <c r="S90" s="121"/>
      <c r="T90" s="286">
        <v>95</v>
      </c>
      <c r="U90" s="288">
        <v>0.03</v>
      </c>
      <c r="V90" s="282"/>
      <c r="W90" s="121"/>
      <c r="X90" s="121"/>
    </row>
    <row r="91" spans="4:24" ht="14.25" x14ac:dyDescent="0.2">
      <c r="D91" s="121"/>
      <c r="H91" s="29"/>
      <c r="I91" s="29"/>
      <c r="J91" s="29"/>
      <c r="K91" s="29"/>
      <c r="L91" s="29"/>
      <c r="N91" s="260"/>
      <c r="O91" s="120"/>
      <c r="P91" s="29" t="e">
        <f>Table_Prescript_Meas[[#This Row],[Incentive - LC (RCA)]]/Table_Prescript_Meas[[#This Row],[Deemed kWh Savings]]</f>
        <v>#DIV/0!</v>
      </c>
      <c r="Q91" s="29" t="e">
        <f>Table_Prescript_Meas[[#This Row],[Incentive - SC (RCA)]]/Table_Prescript_Meas[[#This Row],[Deemed kWh Savings]]</f>
        <v>#DIV/0!</v>
      </c>
      <c r="R91" s="121"/>
      <c r="S91" s="121"/>
      <c r="T91" s="286">
        <v>100</v>
      </c>
      <c r="U91" s="288">
        <v>0</v>
      </c>
      <c r="V91" s="282"/>
      <c r="W91" s="121"/>
      <c r="X91" s="121"/>
    </row>
    <row r="92" spans="4:24" ht="15" x14ac:dyDescent="0.2">
      <c r="D92" s="121"/>
      <c r="F92" s="97"/>
      <c r="H92" s="29"/>
      <c r="I92" s="29"/>
      <c r="J92" s="29"/>
      <c r="K92" s="29"/>
      <c r="L92" s="29"/>
      <c r="N92" s="260"/>
      <c r="O92" s="120"/>
      <c r="P92" s="29" t="e">
        <f>Table_Prescript_Meas[[#This Row],[Incentive - LC (RCA)]]/Table_Prescript_Meas[[#This Row],[Deemed kWh Savings]]</f>
        <v>#DIV/0!</v>
      </c>
      <c r="Q92" s="29" t="e">
        <f>Table_Prescript_Meas[[#This Row],[Incentive - SC (RCA)]]/Table_Prescript_Meas[[#This Row],[Deemed kWh Savings]]</f>
        <v>#DIV/0!</v>
      </c>
      <c r="R92" s="121"/>
      <c r="S92" s="121"/>
      <c r="T92" s="283" t="s">
        <v>443</v>
      </c>
      <c r="U92" s="288">
        <v>0.04</v>
      </c>
      <c r="V92" s="282"/>
      <c r="W92" s="121"/>
      <c r="X92" s="121"/>
    </row>
    <row r="93" spans="4:24" x14ac:dyDescent="0.2">
      <c r="D93" s="121"/>
      <c r="F93" s="97"/>
      <c r="H93" s="29"/>
      <c r="I93" s="29"/>
      <c r="J93" s="29"/>
      <c r="K93" s="29"/>
      <c r="L93" s="29"/>
      <c r="N93" s="260"/>
      <c r="O93" s="120"/>
      <c r="P93" s="29" t="e">
        <f>Table_Prescript_Meas[[#This Row],[Incentive - LC (RCA)]]/Table_Prescript_Meas[[#This Row],[Deemed kWh Savings]]</f>
        <v>#DIV/0!</v>
      </c>
      <c r="Q93" s="29" t="e">
        <f>Table_Prescript_Meas[[#This Row],[Incentive - SC (RCA)]]/Table_Prescript_Meas[[#This Row],[Deemed kWh Savings]]</f>
        <v>#DIV/0!</v>
      </c>
      <c r="R93" s="121"/>
      <c r="S93" s="121"/>
      <c r="T93" s="121"/>
      <c r="U93" s="35">
        <f>AVERAGE(U85:U92)</f>
        <v>5.7500000000000002E-2</v>
      </c>
      <c r="V93" s="121"/>
      <c r="W93" s="121"/>
      <c r="X93" s="121"/>
    </row>
    <row r="94" spans="4:24" x14ac:dyDescent="0.2">
      <c r="D94" s="121"/>
      <c r="F94" s="97"/>
      <c r="H94" s="29"/>
      <c r="I94" s="29"/>
      <c r="J94" s="29"/>
      <c r="K94" s="29"/>
      <c r="L94" s="29"/>
      <c r="N94" s="260"/>
      <c r="O94" s="120"/>
      <c r="P94" s="29" t="e">
        <f>Table_Prescript_Meas[[#This Row],[Incentive - LC (RCA)]]/Table_Prescript_Meas[[#This Row],[Deemed kWh Savings]]</f>
        <v>#DIV/0!</v>
      </c>
      <c r="Q94" s="29" t="e">
        <f>Table_Prescript_Meas[[#This Row],[Incentive - SC (RCA)]]/Table_Prescript_Meas[[#This Row],[Deemed kWh Savings]]</f>
        <v>#DIV/0!</v>
      </c>
    </row>
    <row r="95" spans="4:24" x14ac:dyDescent="0.2">
      <c r="D95" s="121"/>
      <c r="F95" s="97"/>
      <c r="H95" s="29"/>
      <c r="I95" s="29"/>
      <c r="J95" s="29"/>
      <c r="K95" s="29"/>
      <c r="L95" s="29"/>
      <c r="N95" s="260"/>
      <c r="O95" s="120"/>
      <c r="P95" s="29" t="e">
        <f>Table_Prescript_Meas[[#This Row],[Incentive - LC (RCA)]]/Table_Prescript_Meas[[#This Row],[Deemed kWh Savings]]</f>
        <v>#DIV/0!</v>
      </c>
      <c r="Q95" s="29" t="e">
        <f>Table_Prescript_Meas[[#This Row],[Incentive - SC (RCA)]]/Table_Prescript_Meas[[#This Row],[Deemed kWh Savings]]</f>
        <v>#DIV/0!</v>
      </c>
    </row>
    <row r="96" spans="4:24" x14ac:dyDescent="0.2">
      <c r="D96" s="121"/>
      <c r="F96" s="97"/>
      <c r="H96" s="29"/>
      <c r="I96" s="29"/>
      <c r="J96" s="29"/>
      <c r="K96" s="29"/>
      <c r="L96" s="29"/>
      <c r="N96" s="260"/>
      <c r="O96" s="120"/>
      <c r="P96" s="29" t="e">
        <f>Table_Prescript_Meas[[#This Row],[Incentive - LC (RCA)]]/Table_Prescript_Meas[[#This Row],[Deemed kWh Savings]]</f>
        <v>#DIV/0!</v>
      </c>
      <c r="Q96" s="29" t="e">
        <f>Table_Prescript_Meas[[#This Row],[Incentive - SC (RCA)]]/Table_Prescript_Meas[[#This Row],[Deemed kWh Savings]]</f>
        <v>#DIV/0!</v>
      </c>
    </row>
    <row r="97" spans="4:24" x14ac:dyDescent="0.2">
      <c r="D97" s="121"/>
      <c r="F97" s="97"/>
      <c r="H97" s="29"/>
      <c r="I97" s="29"/>
      <c r="J97" s="29"/>
      <c r="K97" s="29"/>
      <c r="L97" s="29"/>
      <c r="N97" s="260"/>
      <c r="O97" s="120"/>
      <c r="P97" s="29" t="e">
        <f>Table_Prescript_Meas[[#This Row],[Incentive - LC (RCA)]]/Table_Prescript_Meas[[#This Row],[Deemed kWh Savings]]</f>
        <v>#DIV/0!</v>
      </c>
      <c r="Q97" s="29" t="e">
        <f>Table_Prescript_Meas[[#This Row],[Incentive - SC (RCA)]]/Table_Prescript_Meas[[#This Row],[Deemed kWh Savings]]</f>
        <v>#DIV/0!</v>
      </c>
    </row>
    <row r="98" spans="4:24" x14ac:dyDescent="0.2">
      <c r="D98" s="121"/>
      <c r="H98" s="29"/>
      <c r="I98" s="29"/>
      <c r="J98" s="29"/>
      <c r="K98" s="29"/>
      <c r="L98" s="29"/>
      <c r="N98" s="260"/>
      <c r="O98" s="120"/>
      <c r="P98" s="29" t="e">
        <f>Table_Prescript_Meas[[#This Row],[Incentive - LC (RCA)]]/Table_Prescript_Meas[[#This Row],[Deemed kWh Savings]]</f>
        <v>#DIV/0!</v>
      </c>
      <c r="Q98" s="29" t="e">
        <f>Table_Prescript_Meas[[#This Row],[Incentive - SC (RCA)]]/Table_Prescript_Meas[[#This Row],[Deemed kWh Savings]]</f>
        <v>#DIV/0!</v>
      </c>
    </row>
    <row r="99" spans="4:24" x14ac:dyDescent="0.2">
      <c r="H99" s="29"/>
      <c r="I99" s="29"/>
      <c r="J99" s="29"/>
      <c r="K99" s="29"/>
      <c r="L99" s="29"/>
    </row>
    <row r="101" spans="4:24" ht="15.75" thickBot="1" x14ac:dyDescent="0.3">
      <c r="N101" s="99" t="s">
        <v>486</v>
      </c>
      <c r="S101" s="100"/>
      <c r="T101" s="100"/>
      <c r="U101" s="100"/>
      <c r="V101" s="100"/>
      <c r="W101" s="100"/>
      <c r="X101" s="100"/>
    </row>
    <row r="102" spans="4:24" ht="30.75" thickBot="1" x14ac:dyDescent="0.3">
      <c r="N102" s="132" t="s">
        <v>12</v>
      </c>
      <c r="O102" s="133" t="s">
        <v>218</v>
      </c>
      <c r="P102" s="133" t="s">
        <v>219</v>
      </c>
      <c r="Q102" s="138" t="s">
        <v>220</v>
      </c>
      <c r="R102" s="116"/>
      <c r="S102" s="101" t="s">
        <v>12</v>
      </c>
      <c r="T102" s="102" t="s">
        <v>220</v>
      </c>
      <c r="V102" s="100"/>
      <c r="W102" s="100"/>
      <c r="X102" s="100"/>
    </row>
    <row r="103" spans="4:24" ht="15.75" thickBot="1" x14ac:dyDescent="0.3">
      <c r="N103" s="144" t="s">
        <v>290</v>
      </c>
      <c r="O103" s="145">
        <v>2455.5754379742052</v>
      </c>
      <c r="P103" s="146">
        <v>380.06230482296388</v>
      </c>
      <c r="Q103" s="147">
        <f>AVERAGE($T$103:$T$112)</f>
        <v>0.82599999999999996</v>
      </c>
      <c r="R103" s="117"/>
      <c r="S103" s="103" t="s">
        <v>221</v>
      </c>
      <c r="T103" s="104">
        <v>0.78</v>
      </c>
      <c r="V103" s="100"/>
      <c r="W103" s="100"/>
      <c r="X103" s="100"/>
    </row>
    <row r="104" spans="4:24" ht="15.75" thickBot="1" x14ac:dyDescent="0.3">
      <c r="N104" s="135" t="s">
        <v>291</v>
      </c>
      <c r="O104" s="131">
        <v>1747.7206964914592</v>
      </c>
      <c r="P104" s="141">
        <v>649.90258666677039</v>
      </c>
      <c r="Q104" s="140">
        <f>T112</f>
        <v>0.84</v>
      </c>
      <c r="R104" s="118"/>
      <c r="S104" s="103" t="s">
        <v>222</v>
      </c>
      <c r="T104" s="105">
        <v>0.9</v>
      </c>
      <c r="V104" s="100"/>
      <c r="W104" s="100"/>
      <c r="X104" s="100"/>
    </row>
    <row r="105" spans="4:24" ht="15.75" thickBot="1" x14ac:dyDescent="0.3">
      <c r="N105" s="135" t="s">
        <v>292</v>
      </c>
      <c r="O105" s="131">
        <v>2756.1002992665526</v>
      </c>
      <c r="P105" s="141">
        <v>228.41265298609235</v>
      </c>
      <c r="Q105" s="139">
        <f>T103</f>
        <v>0.78</v>
      </c>
      <c r="R105" s="117"/>
      <c r="S105" s="103" t="s">
        <v>223</v>
      </c>
      <c r="T105" s="104">
        <v>0.85</v>
      </c>
      <c r="V105" s="100"/>
      <c r="W105" s="100"/>
      <c r="X105" s="100"/>
    </row>
    <row r="106" spans="4:24" ht="15.75" thickBot="1" x14ac:dyDescent="0.3">
      <c r="N106" s="135" t="s">
        <v>226</v>
      </c>
      <c r="O106" s="131">
        <v>2674.8306072500977</v>
      </c>
      <c r="P106" s="141">
        <v>290.74493729466536</v>
      </c>
      <c r="Q106" s="139">
        <f>T108</f>
        <v>0.85</v>
      </c>
      <c r="R106" s="117"/>
      <c r="S106" s="103" t="s">
        <v>224</v>
      </c>
      <c r="T106" s="104">
        <v>0.84</v>
      </c>
      <c r="V106" s="100"/>
      <c r="W106" s="100"/>
      <c r="X106" s="100"/>
    </row>
    <row r="107" spans="4:24" ht="15.75" thickBot="1" x14ac:dyDescent="0.3">
      <c r="N107" s="135" t="s">
        <v>293</v>
      </c>
      <c r="O107" s="131">
        <v>1622.1335543373473</v>
      </c>
      <c r="P107" s="141">
        <v>337.44197965991435</v>
      </c>
      <c r="Q107" s="140">
        <f>T104</f>
        <v>0.9</v>
      </c>
      <c r="R107" s="117"/>
      <c r="S107" s="103" t="s">
        <v>225</v>
      </c>
      <c r="T107" s="104">
        <v>0.77</v>
      </c>
      <c r="V107" s="100"/>
      <c r="W107" s="100"/>
      <c r="X107" s="100"/>
    </row>
    <row r="108" spans="4:24" ht="15.75" thickBot="1" x14ac:dyDescent="0.3">
      <c r="N108" s="135" t="s">
        <v>223</v>
      </c>
      <c r="O108" s="131">
        <v>1301.22602623844</v>
      </c>
      <c r="P108" s="141">
        <v>409.12508176417259</v>
      </c>
      <c r="Q108" s="139">
        <f>T105</f>
        <v>0.85</v>
      </c>
      <c r="R108" s="117"/>
      <c r="S108" s="103" t="s">
        <v>226</v>
      </c>
      <c r="T108" s="104">
        <v>0.85</v>
      </c>
      <c r="V108" s="100"/>
      <c r="W108" s="100"/>
      <c r="X108" s="100"/>
    </row>
    <row r="109" spans="4:24" ht="15.75" thickBot="1" x14ac:dyDescent="0.3">
      <c r="N109" s="135" t="s">
        <v>294</v>
      </c>
      <c r="O109" s="131">
        <v>1599.1032406981219</v>
      </c>
      <c r="P109" s="141">
        <v>693.11470613102676</v>
      </c>
      <c r="Q109" s="139">
        <f>T106</f>
        <v>0.84</v>
      </c>
      <c r="R109" s="117"/>
      <c r="S109" s="103" t="s">
        <v>227</v>
      </c>
      <c r="T109" s="104">
        <v>0.88</v>
      </c>
      <c r="V109" s="100"/>
      <c r="W109" s="100"/>
      <c r="X109" s="100"/>
    </row>
    <row r="110" spans="4:24" ht="15.75" thickBot="1" x14ac:dyDescent="0.3">
      <c r="N110" s="135" t="s">
        <v>225</v>
      </c>
      <c r="O110" s="131">
        <v>6327.1360771853797</v>
      </c>
      <c r="P110" s="141">
        <v>458.98909434324543</v>
      </c>
      <c r="Q110" s="139">
        <f>T107</f>
        <v>0.77</v>
      </c>
      <c r="R110" s="117"/>
      <c r="S110" s="103" t="s">
        <v>228</v>
      </c>
      <c r="T110" s="104">
        <v>0.71</v>
      </c>
      <c r="V110" s="100"/>
      <c r="W110" s="100"/>
      <c r="X110" s="100"/>
    </row>
    <row r="111" spans="4:24" ht="15.75" thickBot="1" x14ac:dyDescent="0.3">
      <c r="N111" s="134" t="s">
        <v>295</v>
      </c>
      <c r="O111" s="131">
        <v>2455.5754379742052</v>
      </c>
      <c r="P111" s="141">
        <v>380.06230482296388</v>
      </c>
      <c r="Q111" s="140">
        <f>AVERAGE($T$103:$T$112)</f>
        <v>0.82599999999999996</v>
      </c>
      <c r="S111" s="103" t="s">
        <v>229</v>
      </c>
      <c r="T111" s="104">
        <v>0.84</v>
      </c>
      <c r="V111" s="100"/>
      <c r="W111" s="100"/>
      <c r="X111" s="100"/>
    </row>
    <row r="112" spans="4:24" ht="15.75" thickBot="1" x14ac:dyDescent="0.3">
      <c r="N112" s="135" t="s">
        <v>227</v>
      </c>
      <c r="O112" s="131">
        <v>2647.4493083697926</v>
      </c>
      <c r="P112" s="141">
        <v>458.98909434324543</v>
      </c>
      <c r="Q112" s="139">
        <f>T109</f>
        <v>0.88</v>
      </c>
      <c r="R112" s="117"/>
      <c r="S112" s="103" t="s">
        <v>230</v>
      </c>
      <c r="T112" s="104">
        <v>0.84</v>
      </c>
      <c r="V112" s="100"/>
      <c r="W112" s="100"/>
      <c r="X112" s="100"/>
    </row>
    <row r="113" spans="14:24" s="121" customFormat="1" ht="15" x14ac:dyDescent="0.25">
      <c r="N113" s="135" t="s">
        <v>228</v>
      </c>
      <c r="O113" s="131">
        <v>1288.6099478291108</v>
      </c>
      <c r="P113" s="141">
        <v>215.80500166684772</v>
      </c>
      <c r="Q113" s="139">
        <f>T110</f>
        <v>0.71</v>
      </c>
      <c r="R113" s="117"/>
      <c r="S113" s="100"/>
      <c r="T113" s="100"/>
      <c r="U113" s="100"/>
      <c r="V113" s="100"/>
      <c r="W113" s="100"/>
      <c r="X113" s="100"/>
    </row>
    <row r="114" spans="14:24" s="121" customFormat="1" ht="15" x14ac:dyDescent="0.25">
      <c r="N114" s="135" t="s">
        <v>296</v>
      </c>
      <c r="O114" s="131">
        <v>1870.8416089012105</v>
      </c>
      <c r="P114" s="141">
        <v>49.185923232415234</v>
      </c>
      <c r="Q114" s="139">
        <f>T111</f>
        <v>0.84</v>
      </c>
      <c r="R114" s="117"/>
      <c r="S114" s="100"/>
      <c r="T114" s="100"/>
      <c r="U114" s="100"/>
      <c r="V114" s="100"/>
      <c r="W114" s="100"/>
      <c r="X114" s="100"/>
    </row>
    <row r="115" spans="14:24" s="121" customFormat="1" ht="15.75" thickBot="1" x14ac:dyDescent="0.3">
      <c r="N115" s="136" t="s">
        <v>297</v>
      </c>
      <c r="O115" s="137">
        <v>2455.5754379742052</v>
      </c>
      <c r="P115" s="142">
        <v>380.06230482296388</v>
      </c>
      <c r="Q115" s="143">
        <f>AVERAGE($T$103:$T$112)</f>
        <v>0.82599999999999996</v>
      </c>
      <c r="R115" s="117"/>
      <c r="S115" s="100"/>
      <c r="T115" s="100"/>
      <c r="U115" s="100"/>
      <c r="V115" s="100"/>
      <c r="W115" s="100"/>
      <c r="X115" s="100"/>
    </row>
    <row r="116" spans="14:24" s="121" customFormat="1" ht="15" x14ac:dyDescent="0.25">
      <c r="N116" s="117"/>
      <c r="O116" s="130"/>
      <c r="P116" s="117"/>
      <c r="Q116" s="117"/>
      <c r="R116" s="117"/>
      <c r="S116" s="100"/>
      <c r="T116" s="100"/>
      <c r="U116" s="100"/>
      <c r="V116" s="100"/>
      <c r="W116" s="100"/>
      <c r="X116" s="100"/>
    </row>
    <row r="117" spans="14:24" ht="15" x14ac:dyDescent="0.25">
      <c r="N117" s="100"/>
      <c r="O117" s="100"/>
      <c r="P117" s="100"/>
      <c r="Q117" s="100"/>
      <c r="R117" s="100"/>
      <c r="S117" s="100"/>
      <c r="T117" s="100"/>
      <c r="U117" s="100"/>
      <c r="V117" s="100"/>
      <c r="W117" s="100"/>
      <c r="X117" s="100"/>
    </row>
    <row r="118" spans="14:24" ht="15" x14ac:dyDescent="0.25">
      <c r="N118" s="295" t="s">
        <v>487</v>
      </c>
      <c r="O118" s="106" t="s">
        <v>231</v>
      </c>
      <c r="P118" s="106"/>
      <c r="Q118" s="106"/>
      <c r="R118" s="106"/>
      <c r="S118" s="106" t="s">
        <v>232</v>
      </c>
      <c r="T118" s="106"/>
      <c r="U118" s="106"/>
      <c r="V118" s="107" t="s">
        <v>233</v>
      </c>
      <c r="W118" s="108"/>
      <c r="X118" s="100"/>
    </row>
    <row r="119" spans="14:24" ht="15" x14ac:dyDescent="0.25">
      <c r="N119" s="109" t="s">
        <v>234</v>
      </c>
      <c r="O119" s="109" t="s">
        <v>235</v>
      </c>
      <c r="P119" s="109" t="s">
        <v>236</v>
      </c>
      <c r="Q119" s="109" t="s">
        <v>237</v>
      </c>
      <c r="R119" s="109"/>
      <c r="S119" s="109" t="s">
        <v>235</v>
      </c>
      <c r="T119" s="109" t="s">
        <v>236</v>
      </c>
      <c r="U119" s="109" t="s">
        <v>237</v>
      </c>
      <c r="V119" s="110" t="s">
        <v>238</v>
      </c>
      <c r="W119" s="110" t="s">
        <v>239</v>
      </c>
      <c r="X119" s="100"/>
    </row>
    <row r="120" spans="14:24" ht="15" x14ac:dyDescent="0.25">
      <c r="N120" s="246" t="s">
        <v>245</v>
      </c>
      <c r="O120" s="111">
        <v>11.8</v>
      </c>
      <c r="P120" s="111">
        <v>13.4</v>
      </c>
      <c r="Q120" s="4"/>
      <c r="R120" s="4"/>
      <c r="S120" s="111">
        <v>12.3</v>
      </c>
      <c r="T120" s="248">
        <v>14.5</v>
      </c>
      <c r="U120" s="249"/>
      <c r="V120" s="111">
        <v>0</v>
      </c>
      <c r="W120" s="111">
        <v>5.4199900000000003</v>
      </c>
      <c r="X120" s="100"/>
    </row>
    <row r="121" spans="14:24" ht="15" x14ac:dyDescent="0.25">
      <c r="N121" s="246" t="s">
        <v>240</v>
      </c>
      <c r="O121" s="111">
        <v>11.1</v>
      </c>
      <c r="P121" s="111">
        <v>14.7</v>
      </c>
      <c r="Q121" s="4"/>
      <c r="R121" s="4"/>
      <c r="S121" s="111">
        <v>12.2</v>
      </c>
      <c r="T121" s="246">
        <v>14.8</v>
      </c>
      <c r="U121" s="249"/>
      <c r="V121" s="111">
        <v>5.42</v>
      </c>
      <c r="W121" s="111">
        <v>11.24</v>
      </c>
      <c r="X121" s="100"/>
    </row>
    <row r="122" spans="14:24" ht="15" x14ac:dyDescent="0.25">
      <c r="N122" s="246" t="s">
        <v>241</v>
      </c>
      <c r="O122" s="111">
        <v>10.9</v>
      </c>
      <c r="P122" s="111">
        <v>14.1</v>
      </c>
      <c r="Q122" s="4"/>
      <c r="R122" s="4"/>
      <c r="S122" s="111">
        <v>12.2</v>
      </c>
      <c r="T122" s="246">
        <v>14.8</v>
      </c>
      <c r="U122" s="249"/>
      <c r="V122" s="111">
        <v>11.25</v>
      </c>
      <c r="W122" s="111">
        <v>19.998999999999999</v>
      </c>
      <c r="X122" s="100"/>
    </row>
    <row r="123" spans="14:24" ht="15" x14ac:dyDescent="0.25">
      <c r="N123" s="246" t="s">
        <v>246</v>
      </c>
      <c r="O123" s="111">
        <v>9.9</v>
      </c>
      <c r="P123" s="111">
        <v>13.1</v>
      </c>
      <c r="Q123" s="4"/>
      <c r="R123" s="4"/>
      <c r="S123" s="111">
        <v>10.8</v>
      </c>
      <c r="T123" s="246">
        <v>13.5</v>
      </c>
      <c r="U123" s="249"/>
      <c r="V123" s="111">
        <v>20</v>
      </c>
      <c r="W123" s="112">
        <v>63.3</v>
      </c>
      <c r="X123" s="100"/>
    </row>
    <row r="124" spans="14:24" ht="15" x14ac:dyDescent="0.25">
      <c r="N124" s="247" t="s">
        <v>247</v>
      </c>
      <c r="O124" s="112">
        <v>9.6</v>
      </c>
      <c r="P124" s="112">
        <v>12.4</v>
      </c>
      <c r="Q124" s="112"/>
      <c r="R124" s="112"/>
      <c r="S124" s="112">
        <v>10.4</v>
      </c>
      <c r="T124" s="250">
        <v>13</v>
      </c>
      <c r="U124" s="247"/>
      <c r="V124" s="112">
        <v>63.4</v>
      </c>
      <c r="W124" s="111">
        <v>999999</v>
      </c>
      <c r="X124" s="100"/>
    </row>
    <row r="125" spans="14:24" ht="15" x14ac:dyDescent="0.25">
      <c r="N125" s="246" t="s">
        <v>248</v>
      </c>
      <c r="O125" s="113">
        <v>11.8</v>
      </c>
      <c r="P125" s="113">
        <v>13.4</v>
      </c>
      <c r="Q125" s="113">
        <v>7.1</v>
      </c>
      <c r="R125" s="113"/>
      <c r="S125" s="113">
        <v>12.3</v>
      </c>
      <c r="T125" s="251">
        <v>14.5</v>
      </c>
      <c r="U125" s="251">
        <v>8</v>
      </c>
      <c r="V125" s="111">
        <v>0</v>
      </c>
      <c r="W125" s="111">
        <v>5.4199900000000003</v>
      </c>
      <c r="X125" s="100"/>
    </row>
    <row r="126" spans="14:24" ht="15" x14ac:dyDescent="0.25">
      <c r="N126" s="246" t="s">
        <v>249</v>
      </c>
      <c r="O126" s="113">
        <f>AVERAGE(11,10.8)</f>
        <v>10.9</v>
      </c>
      <c r="P126" s="113">
        <v>14</v>
      </c>
      <c r="Q126" s="113">
        <f>3.4*3.412</f>
        <v>11.6008</v>
      </c>
      <c r="R126" s="113"/>
      <c r="S126" s="113">
        <v>11.3</v>
      </c>
      <c r="T126" s="251">
        <v>14.5</v>
      </c>
      <c r="U126" s="251">
        <v>12</v>
      </c>
      <c r="V126" s="111">
        <v>5.42</v>
      </c>
      <c r="W126" s="111">
        <v>11.24</v>
      </c>
      <c r="X126" s="100"/>
    </row>
    <row r="127" spans="14:24" ht="15" x14ac:dyDescent="0.25">
      <c r="N127" s="246" t="s">
        <v>250</v>
      </c>
      <c r="O127" s="113">
        <f>AVERAGE(10.6,10.4)</f>
        <v>10.5</v>
      </c>
      <c r="P127" s="113">
        <v>13.4</v>
      </c>
      <c r="Q127" s="113">
        <f>3.3*3.412</f>
        <v>11.259599999999999</v>
      </c>
      <c r="R127" s="113"/>
      <c r="S127" s="113">
        <v>10.9</v>
      </c>
      <c r="T127" s="251">
        <v>14</v>
      </c>
      <c r="U127" s="251">
        <v>12</v>
      </c>
      <c r="V127" s="111">
        <v>11.25</v>
      </c>
      <c r="W127" s="111">
        <v>19.9999</v>
      </c>
      <c r="X127" s="100"/>
    </row>
    <row r="128" spans="14:24" ht="15" x14ac:dyDescent="0.25">
      <c r="N128" s="246" t="s">
        <v>251</v>
      </c>
      <c r="O128" s="113">
        <f>AVERAGE(9.5,9.3)</f>
        <v>9.4</v>
      </c>
      <c r="P128" s="113">
        <v>12.4</v>
      </c>
      <c r="Q128" s="113">
        <f>3.2*3.412</f>
        <v>10.9184</v>
      </c>
      <c r="R128" s="113"/>
      <c r="S128" s="113">
        <v>10.3</v>
      </c>
      <c r="T128" s="251">
        <v>13</v>
      </c>
      <c r="U128" s="251">
        <v>12</v>
      </c>
      <c r="V128" s="111">
        <v>20</v>
      </c>
      <c r="W128" s="111">
        <v>999999</v>
      </c>
      <c r="X128" s="100"/>
    </row>
    <row r="129" spans="14:24" ht="15" x14ac:dyDescent="0.25">
      <c r="N129" s="100"/>
      <c r="O129" s="100"/>
      <c r="P129" s="100"/>
      <c r="Q129" s="100"/>
      <c r="R129" s="100"/>
      <c r="S129" s="100"/>
      <c r="T129" s="100"/>
      <c r="U129" s="100"/>
      <c r="V129" s="100"/>
      <c r="W129" s="100"/>
      <c r="X129" s="100"/>
    </row>
    <row r="130" spans="14:24" ht="15" x14ac:dyDescent="0.25">
      <c r="N130" s="375" t="s">
        <v>467</v>
      </c>
      <c r="O130" s="375"/>
      <c r="P130" s="375"/>
      <c r="Q130" s="375"/>
      <c r="R130" s="375"/>
      <c r="S130" s="375"/>
      <c r="T130" s="375"/>
      <c r="U130" s="100"/>
      <c r="V130" s="100"/>
      <c r="W130" s="100"/>
      <c r="X130" s="100"/>
    </row>
    <row r="131" spans="14:24" ht="15" x14ac:dyDescent="0.25">
      <c r="N131" s="292" t="s">
        <v>234</v>
      </c>
      <c r="O131" s="292" t="s">
        <v>445</v>
      </c>
      <c r="P131" s="376" t="s">
        <v>242</v>
      </c>
      <c r="Q131" s="377"/>
      <c r="R131" s="378" t="s">
        <v>468</v>
      </c>
      <c r="S131" s="379"/>
      <c r="T131" s="285"/>
      <c r="U131" s="100"/>
      <c r="V131" s="100"/>
      <c r="W131" s="100"/>
      <c r="X131" s="100"/>
    </row>
    <row r="132" spans="14:24" ht="15" x14ac:dyDescent="0.25">
      <c r="N132" s="350" t="s">
        <v>448</v>
      </c>
      <c r="O132" s="350" t="s">
        <v>449</v>
      </c>
      <c r="P132" s="365" t="s">
        <v>446</v>
      </c>
      <c r="Q132" s="366"/>
      <c r="R132" s="367" t="s">
        <v>447</v>
      </c>
      <c r="S132" s="368"/>
      <c r="T132" s="282"/>
      <c r="U132" s="100"/>
      <c r="V132" s="100"/>
      <c r="W132" s="100"/>
      <c r="X132" s="100"/>
    </row>
    <row r="133" spans="14:24" ht="15" x14ac:dyDescent="0.25">
      <c r="N133" s="350"/>
      <c r="O133" s="350"/>
      <c r="P133" s="365"/>
      <c r="Q133" s="366"/>
      <c r="R133" s="351" t="s">
        <v>450</v>
      </c>
      <c r="S133" s="352"/>
      <c r="T133" s="282"/>
      <c r="U133" s="100"/>
      <c r="V133" s="100"/>
      <c r="W133" s="100"/>
      <c r="X133" s="100"/>
    </row>
    <row r="134" spans="14:24" ht="15" x14ac:dyDescent="0.25">
      <c r="N134" s="350"/>
      <c r="O134" s="350"/>
      <c r="P134" s="369" t="s">
        <v>451</v>
      </c>
      <c r="Q134" s="370"/>
      <c r="R134" s="367" t="s">
        <v>447</v>
      </c>
      <c r="S134" s="368"/>
      <c r="T134" s="282"/>
      <c r="U134" s="100"/>
      <c r="V134" s="100"/>
      <c r="W134" s="100"/>
      <c r="X134" s="100"/>
    </row>
    <row r="135" spans="14:24" ht="15" x14ac:dyDescent="0.25">
      <c r="N135" s="350"/>
      <c r="O135" s="350"/>
      <c r="P135" s="369"/>
      <c r="Q135" s="370"/>
      <c r="R135" s="353" t="s">
        <v>452</v>
      </c>
      <c r="S135" s="354"/>
      <c r="T135" s="282"/>
      <c r="U135" s="100"/>
      <c r="V135" s="100"/>
      <c r="W135" s="100"/>
      <c r="X135" s="100"/>
    </row>
    <row r="136" spans="14:24" ht="15" customHeight="1" x14ac:dyDescent="0.25">
      <c r="N136" s="350" t="s">
        <v>455</v>
      </c>
      <c r="O136" s="350" t="s">
        <v>456</v>
      </c>
      <c r="P136" s="350" t="s">
        <v>243</v>
      </c>
      <c r="Q136" s="364"/>
      <c r="R136" s="351" t="s">
        <v>453</v>
      </c>
      <c r="S136" s="352"/>
      <c r="T136" s="282"/>
      <c r="U136" s="100"/>
      <c r="V136" s="100"/>
      <c r="W136" s="100"/>
      <c r="X136" s="100"/>
    </row>
    <row r="137" spans="14:24" ht="15" x14ac:dyDescent="0.25">
      <c r="N137" s="350"/>
      <c r="O137" s="350"/>
      <c r="P137" s="350"/>
      <c r="Q137" s="364"/>
      <c r="R137" s="353" t="s">
        <v>454</v>
      </c>
      <c r="S137" s="354"/>
      <c r="T137" s="282"/>
      <c r="U137" s="100"/>
      <c r="V137" s="100"/>
      <c r="W137" s="100"/>
      <c r="X137" s="100"/>
    </row>
    <row r="138" spans="14:24" ht="30" customHeight="1" x14ac:dyDescent="0.25">
      <c r="N138" s="350"/>
      <c r="O138" s="350"/>
      <c r="P138" s="362" t="s">
        <v>457</v>
      </c>
      <c r="Q138" s="362"/>
      <c r="R138" s="355" t="s">
        <v>458</v>
      </c>
      <c r="S138" s="355"/>
      <c r="T138" s="285"/>
      <c r="U138" s="100"/>
      <c r="V138" s="100"/>
      <c r="W138" s="100"/>
      <c r="X138" s="100"/>
    </row>
    <row r="139" spans="14:24" ht="30" customHeight="1" x14ac:dyDescent="0.25">
      <c r="N139" s="350"/>
      <c r="O139" s="350"/>
      <c r="P139" s="362" t="s">
        <v>459</v>
      </c>
      <c r="Q139" s="362"/>
      <c r="R139" s="356" t="s">
        <v>460</v>
      </c>
      <c r="S139" s="356"/>
      <c r="T139" s="285"/>
      <c r="U139" s="100"/>
      <c r="V139" s="100"/>
      <c r="W139" s="100"/>
      <c r="X139" s="100"/>
    </row>
    <row r="140" spans="14:24" ht="30" customHeight="1" x14ac:dyDescent="0.25">
      <c r="N140" s="350"/>
      <c r="O140" s="350"/>
      <c r="P140" s="362" t="s">
        <v>461</v>
      </c>
      <c r="Q140" s="362"/>
      <c r="R140" s="356" t="s">
        <v>462</v>
      </c>
      <c r="S140" s="356"/>
      <c r="T140" s="285"/>
      <c r="U140" s="100"/>
      <c r="V140" s="100"/>
      <c r="W140" s="100"/>
      <c r="X140" s="100"/>
    </row>
    <row r="141" spans="14:24" ht="30" customHeight="1" x14ac:dyDescent="0.25">
      <c r="N141" s="350" t="s">
        <v>455</v>
      </c>
      <c r="O141" s="350" t="s">
        <v>464</v>
      </c>
      <c r="P141" s="350" t="s">
        <v>244</v>
      </c>
      <c r="Q141" s="350"/>
      <c r="R141" s="356" t="s">
        <v>463</v>
      </c>
      <c r="S141" s="356"/>
      <c r="T141" s="285"/>
      <c r="U141" s="100"/>
      <c r="V141" s="100"/>
      <c r="W141" s="100"/>
      <c r="X141" s="100"/>
    </row>
    <row r="142" spans="14:24" ht="30" customHeight="1" x14ac:dyDescent="0.25">
      <c r="N142" s="350"/>
      <c r="O142" s="350"/>
      <c r="P142" s="362" t="s">
        <v>465</v>
      </c>
      <c r="Q142" s="362"/>
      <c r="R142" s="357" t="s">
        <v>466</v>
      </c>
      <c r="S142" s="357"/>
      <c r="T142" s="290"/>
      <c r="U142" s="100"/>
      <c r="V142" s="100"/>
      <c r="W142" s="100"/>
      <c r="X142" s="100"/>
    </row>
    <row r="143" spans="14:24" ht="15" customHeight="1" x14ac:dyDescent="0.25">
      <c r="N143" s="350"/>
      <c r="O143" s="350"/>
      <c r="P143" s="362" t="s">
        <v>469</v>
      </c>
      <c r="Q143" s="363"/>
      <c r="R143" s="358" t="s">
        <v>470</v>
      </c>
      <c r="S143" s="359"/>
      <c r="T143" s="291"/>
      <c r="U143" s="100"/>
      <c r="V143" s="100"/>
      <c r="W143" s="100"/>
      <c r="X143" s="100"/>
    </row>
    <row r="144" spans="14:24" ht="15" x14ac:dyDescent="0.25">
      <c r="N144" s="350"/>
      <c r="O144" s="350"/>
      <c r="P144" s="362"/>
      <c r="Q144" s="363"/>
      <c r="R144" s="360" t="s">
        <v>471</v>
      </c>
      <c r="S144" s="361"/>
      <c r="T144" s="100"/>
      <c r="U144" s="100"/>
      <c r="V144" s="100"/>
      <c r="W144" s="100"/>
      <c r="X144" s="100"/>
    </row>
    <row r="145" spans="14:24" ht="15" x14ac:dyDescent="0.25">
      <c r="N145" s="234"/>
      <c r="O145" s="235"/>
      <c r="P145" s="235"/>
      <c r="Q145" s="100"/>
      <c r="R145" s="100"/>
      <c r="S145" s="100"/>
      <c r="T145" s="100"/>
      <c r="U145" s="100"/>
      <c r="V145" s="100"/>
      <c r="W145" s="100"/>
      <c r="X145" s="100"/>
    </row>
    <row r="146" spans="14:24" ht="15" x14ac:dyDescent="0.25">
      <c r="N146" s="234"/>
      <c r="O146" s="235"/>
      <c r="P146" s="235"/>
      <c r="Q146" s="100"/>
      <c r="R146" s="100"/>
      <c r="S146" s="100"/>
      <c r="T146" s="100"/>
      <c r="U146" s="100"/>
      <c r="V146" s="100"/>
      <c r="W146" s="100"/>
      <c r="X146" s="100"/>
    </row>
    <row r="147" spans="14:24" ht="15" x14ac:dyDescent="0.25">
      <c r="N147" s="234"/>
      <c r="O147" s="235"/>
      <c r="P147" s="235"/>
      <c r="Q147" s="100"/>
      <c r="R147" s="100"/>
      <c r="S147" s="100"/>
      <c r="T147" s="100"/>
      <c r="U147" s="100"/>
      <c r="V147" s="100"/>
      <c r="W147" s="100"/>
      <c r="X147" s="100"/>
    </row>
    <row r="148" spans="14:24" ht="15" x14ac:dyDescent="0.25">
      <c r="N148" s="234"/>
      <c r="O148" s="235"/>
      <c r="P148" s="235"/>
      <c r="Q148" s="100"/>
      <c r="R148" s="100"/>
      <c r="S148" s="100"/>
      <c r="T148" s="100"/>
      <c r="U148" s="100"/>
      <c r="V148" s="100"/>
      <c r="W148" s="100"/>
      <c r="X148" s="100"/>
    </row>
    <row r="149" spans="14:24" ht="15" x14ac:dyDescent="0.25">
      <c r="N149" s="234"/>
      <c r="O149" s="235"/>
      <c r="P149" s="235"/>
      <c r="Q149" s="100"/>
      <c r="R149" s="100"/>
      <c r="S149" s="100"/>
      <c r="T149" s="100"/>
      <c r="U149" s="100"/>
      <c r="V149" s="100"/>
      <c r="W149" s="100"/>
      <c r="X149" s="100"/>
    </row>
    <row r="150" spans="14:24" ht="15" x14ac:dyDescent="0.25">
      <c r="N150" s="234"/>
      <c r="O150" s="235"/>
      <c r="P150" s="235"/>
      <c r="Q150" s="100"/>
      <c r="R150" s="100"/>
      <c r="S150" s="100"/>
      <c r="T150" s="100"/>
      <c r="U150" s="100"/>
      <c r="V150" s="100"/>
      <c r="W150" s="100"/>
      <c r="X150" s="100"/>
    </row>
    <row r="151" spans="14:24" ht="15" x14ac:dyDescent="0.25">
      <c r="N151" s="234"/>
      <c r="O151" s="235"/>
      <c r="P151" s="235"/>
      <c r="Q151" s="100"/>
      <c r="R151" s="100"/>
      <c r="S151" s="100"/>
      <c r="T151" s="100"/>
      <c r="U151" s="100"/>
      <c r="V151" s="100"/>
      <c r="W151" s="100"/>
      <c r="X151" s="100"/>
    </row>
    <row r="152" spans="14:24" ht="15" x14ac:dyDescent="0.25">
      <c r="N152" s="234"/>
      <c r="O152" s="235"/>
      <c r="P152" s="235"/>
      <c r="Q152" s="100"/>
      <c r="R152" s="100"/>
      <c r="S152" s="100"/>
      <c r="T152" s="100"/>
      <c r="U152" s="100"/>
      <c r="V152" s="100"/>
      <c r="W152" s="100"/>
      <c r="X152" s="100"/>
    </row>
    <row r="153" spans="14:24" ht="15" x14ac:dyDescent="0.25">
      <c r="N153" s="234"/>
      <c r="O153" s="235"/>
      <c r="P153" s="235"/>
      <c r="Q153" s="100"/>
      <c r="R153" s="100"/>
      <c r="S153" s="100"/>
      <c r="T153" s="100"/>
      <c r="U153" s="100"/>
      <c r="V153" s="100"/>
      <c r="W153" s="100"/>
      <c r="X153" s="100"/>
    </row>
    <row r="154" spans="14:24" ht="15" x14ac:dyDescent="0.25">
      <c r="N154" s="234"/>
      <c r="O154" s="235"/>
      <c r="P154" s="235"/>
      <c r="Q154" s="100"/>
      <c r="R154" s="100"/>
      <c r="S154" s="100"/>
      <c r="T154" s="100"/>
      <c r="U154" s="100"/>
      <c r="V154" s="100"/>
      <c r="W154" s="100"/>
      <c r="X154" s="100"/>
    </row>
    <row r="155" spans="14:24" ht="15" x14ac:dyDescent="0.25">
      <c r="N155" s="234"/>
      <c r="O155" s="235"/>
      <c r="P155" s="235"/>
      <c r="Q155" s="100"/>
      <c r="R155" s="100"/>
      <c r="S155" s="100"/>
      <c r="T155" s="100"/>
      <c r="U155" s="100"/>
      <c r="V155" s="100"/>
      <c r="W155" s="100"/>
      <c r="X155" s="100"/>
    </row>
    <row r="156" spans="14:24" ht="15" x14ac:dyDescent="0.25">
      <c r="N156" s="100"/>
      <c r="O156" s="100"/>
      <c r="P156" s="100"/>
      <c r="Q156" s="100"/>
      <c r="R156" s="100"/>
      <c r="S156" s="100"/>
      <c r="T156" s="100"/>
      <c r="U156" s="100"/>
      <c r="V156" s="100"/>
      <c r="W156" s="100"/>
      <c r="X156" s="100"/>
    </row>
    <row r="157" spans="14:24" ht="15" x14ac:dyDescent="0.25">
      <c r="N157" s="232"/>
      <c r="O157" s="233"/>
      <c r="P157" s="236"/>
      <c r="Q157" s="236"/>
      <c r="R157" s="236"/>
      <c r="S157" s="237"/>
      <c r="T157" s="236"/>
      <c r="U157" s="236"/>
      <c r="V157" s="237"/>
      <c r="W157" s="237"/>
      <c r="X157" s="237"/>
    </row>
    <row r="158" spans="14:24" ht="15" x14ac:dyDescent="0.2">
      <c r="N158" s="236"/>
      <c r="O158" s="236"/>
      <c r="P158" s="238"/>
      <c r="Q158" s="238"/>
      <c r="R158" s="238"/>
      <c r="S158" s="238"/>
      <c r="T158" s="238"/>
      <c r="U158" s="238"/>
      <c r="V158" s="238"/>
      <c r="W158" s="239"/>
      <c r="X158" s="239"/>
    </row>
    <row r="159" spans="14:24" ht="15" x14ac:dyDescent="0.2">
      <c r="N159" s="236"/>
      <c r="O159" s="236"/>
      <c r="P159" s="116"/>
      <c r="Q159" s="116"/>
      <c r="R159" s="116"/>
      <c r="S159" s="116"/>
      <c r="T159" s="116"/>
      <c r="U159" s="116"/>
      <c r="V159" s="116"/>
      <c r="W159" s="240"/>
      <c r="X159" s="240"/>
    </row>
    <row r="160" spans="14:24" ht="15" x14ac:dyDescent="0.25">
      <c r="N160" s="117"/>
      <c r="O160" s="236"/>
      <c r="P160" s="241"/>
      <c r="Q160" s="241"/>
      <c r="R160" s="241"/>
      <c r="S160" s="242"/>
      <c r="T160" s="241"/>
      <c r="U160" s="241"/>
      <c r="V160" s="242"/>
      <c r="W160" s="241"/>
      <c r="X160" s="241"/>
    </row>
    <row r="161" spans="14:24" ht="15" x14ac:dyDescent="0.25">
      <c r="N161" s="117"/>
      <c r="O161" s="236"/>
      <c r="P161" s="237"/>
      <c r="Q161" s="237"/>
      <c r="R161" s="237"/>
      <c r="S161" s="242"/>
      <c r="T161" s="237"/>
      <c r="U161" s="237"/>
      <c r="V161" s="242"/>
      <c r="W161" s="241"/>
      <c r="X161" s="241"/>
    </row>
    <row r="162" spans="14:24" ht="15" x14ac:dyDescent="0.25">
      <c r="N162" s="117"/>
      <c r="O162" s="236"/>
      <c r="P162" s="241"/>
      <c r="Q162" s="241"/>
      <c r="R162" s="241"/>
      <c r="S162" s="242"/>
      <c r="T162" s="241"/>
      <c r="U162" s="241"/>
      <c r="V162" s="242"/>
      <c r="W162" s="241"/>
      <c r="X162" s="241"/>
    </row>
    <row r="163" spans="14:24" ht="15" x14ac:dyDescent="0.25">
      <c r="N163" s="117"/>
      <c r="O163" s="236"/>
      <c r="P163" s="237"/>
      <c r="Q163" s="237"/>
      <c r="R163" s="237"/>
      <c r="S163" s="242"/>
      <c r="T163" s="237"/>
      <c r="U163" s="237"/>
      <c r="V163" s="242"/>
      <c r="W163" s="241"/>
      <c r="X163" s="241"/>
    </row>
    <row r="164" spans="14:24" ht="15" x14ac:dyDescent="0.25">
      <c r="N164" s="117"/>
      <c r="O164" s="236"/>
      <c r="P164" s="241"/>
      <c r="Q164" s="241"/>
      <c r="R164" s="241"/>
      <c r="S164" s="242"/>
      <c r="T164" s="241"/>
      <c r="U164" s="241"/>
      <c r="V164" s="242"/>
      <c r="W164" s="241"/>
      <c r="X164" s="241"/>
    </row>
    <row r="165" spans="14:24" ht="15" x14ac:dyDescent="0.25">
      <c r="N165" s="117"/>
      <c r="O165" s="236"/>
      <c r="P165" s="237"/>
      <c r="Q165" s="237"/>
      <c r="R165" s="237"/>
      <c r="S165" s="242"/>
      <c r="T165" s="237"/>
      <c r="U165" s="237"/>
      <c r="V165" s="242"/>
      <c r="W165" s="241"/>
      <c r="X165" s="241"/>
    </row>
    <row r="166" spans="14:24" ht="15" x14ac:dyDescent="0.25">
      <c r="N166" s="117"/>
      <c r="O166" s="236"/>
      <c r="P166" s="241"/>
      <c r="Q166" s="241"/>
      <c r="R166" s="241"/>
      <c r="S166" s="242"/>
      <c r="T166" s="241"/>
      <c r="U166" s="241"/>
      <c r="V166" s="242"/>
      <c r="W166" s="241"/>
      <c r="X166" s="241"/>
    </row>
    <row r="167" spans="14:24" ht="15" x14ac:dyDescent="0.25">
      <c r="N167" s="117"/>
      <c r="O167" s="236"/>
      <c r="P167" s="237"/>
      <c r="Q167" s="237"/>
      <c r="R167" s="237"/>
      <c r="S167" s="242"/>
      <c r="T167" s="237"/>
      <c r="U167" s="237"/>
      <c r="V167" s="242"/>
      <c r="W167" s="241"/>
      <c r="X167" s="241"/>
    </row>
    <row r="168" spans="14:24" ht="15" x14ac:dyDescent="0.25">
      <c r="N168" s="117"/>
      <c r="O168" s="236"/>
      <c r="P168" s="241"/>
      <c r="Q168" s="241"/>
      <c r="R168" s="241"/>
      <c r="S168" s="242"/>
      <c r="T168" s="241"/>
      <c r="U168" s="241"/>
      <c r="V168" s="242"/>
      <c r="W168" s="241"/>
      <c r="X168" s="241"/>
    </row>
    <row r="169" spans="14:24" ht="15" x14ac:dyDescent="0.25">
      <c r="N169" s="117"/>
      <c r="O169" s="236"/>
      <c r="P169" s="237"/>
      <c r="Q169" s="237"/>
      <c r="R169" s="237"/>
      <c r="S169" s="242"/>
      <c r="T169" s="237"/>
      <c r="U169" s="237"/>
      <c r="V169" s="242"/>
      <c r="W169" s="241"/>
      <c r="X169" s="241"/>
    </row>
    <row r="170" spans="14:24" ht="15" x14ac:dyDescent="0.25">
      <c r="N170" s="117"/>
      <c r="O170" s="236"/>
      <c r="P170" s="241"/>
      <c r="Q170" s="241"/>
      <c r="R170" s="241"/>
      <c r="S170" s="242"/>
      <c r="T170" s="241"/>
      <c r="U170" s="241"/>
      <c r="V170" s="242"/>
      <c r="W170" s="241"/>
      <c r="X170" s="241"/>
    </row>
    <row r="171" spans="14:24" ht="15" x14ac:dyDescent="0.25">
      <c r="N171" s="117"/>
      <c r="O171" s="236"/>
      <c r="P171" s="237"/>
      <c r="Q171" s="237"/>
      <c r="R171" s="237"/>
      <c r="S171" s="242"/>
      <c r="T171" s="237"/>
      <c r="U171" s="237"/>
      <c r="V171" s="242"/>
      <c r="W171" s="241"/>
      <c r="X171" s="241"/>
    </row>
    <row r="172" spans="14:24" ht="15" x14ac:dyDescent="0.25">
      <c r="N172" s="117"/>
      <c r="O172" s="236"/>
      <c r="P172" s="241"/>
      <c r="Q172" s="241"/>
      <c r="R172" s="241"/>
      <c r="S172" s="242"/>
      <c r="T172" s="241"/>
      <c r="U172" s="241"/>
      <c r="V172" s="242"/>
      <c r="W172" s="241"/>
      <c r="X172" s="241"/>
    </row>
    <row r="173" spans="14:24" ht="15" x14ac:dyDescent="0.25">
      <c r="N173" s="117"/>
      <c r="O173" s="236"/>
      <c r="P173" s="237"/>
      <c r="Q173" s="237"/>
      <c r="R173" s="237"/>
      <c r="S173" s="242"/>
      <c r="T173" s="237"/>
      <c r="U173" s="237"/>
      <c r="V173" s="242"/>
      <c r="W173" s="241"/>
      <c r="X173" s="241"/>
    </row>
    <row r="174" spans="14:24" ht="15" x14ac:dyDescent="0.25">
      <c r="N174" s="117"/>
      <c r="O174" s="236"/>
      <c r="P174" s="241"/>
      <c r="Q174" s="241"/>
      <c r="R174" s="241"/>
      <c r="S174" s="242"/>
      <c r="T174" s="241"/>
      <c r="U174" s="241"/>
      <c r="V174" s="242"/>
      <c r="W174" s="241"/>
      <c r="X174" s="241"/>
    </row>
    <row r="175" spans="14:24" ht="15" x14ac:dyDescent="0.25">
      <c r="N175" s="117"/>
      <c r="O175" s="236"/>
      <c r="P175" s="237"/>
      <c r="Q175" s="237"/>
      <c r="R175" s="237"/>
      <c r="S175" s="242"/>
      <c r="T175" s="237"/>
      <c r="U175" s="237"/>
      <c r="V175" s="242"/>
      <c r="W175" s="241"/>
      <c r="X175" s="241"/>
    </row>
    <row r="176" spans="14:24" ht="15" x14ac:dyDescent="0.25">
      <c r="N176" s="117"/>
      <c r="O176" s="236"/>
      <c r="P176" s="241"/>
      <c r="Q176" s="241"/>
      <c r="R176" s="241"/>
      <c r="S176" s="242"/>
      <c r="T176" s="241"/>
      <c r="U176" s="241"/>
      <c r="V176" s="242"/>
      <c r="W176" s="241"/>
      <c r="X176" s="241"/>
    </row>
    <row r="177" spans="14:24" ht="15" x14ac:dyDescent="0.25">
      <c r="N177" s="117"/>
      <c r="O177" s="236"/>
      <c r="P177" s="237"/>
      <c r="Q177" s="237"/>
      <c r="R177" s="237"/>
      <c r="S177" s="242"/>
      <c r="T177" s="237"/>
      <c r="U177" s="237"/>
      <c r="V177" s="242"/>
      <c r="W177" s="241"/>
      <c r="X177" s="241"/>
    </row>
    <row r="178" spans="14:24" ht="15" x14ac:dyDescent="0.25">
      <c r="N178" s="117"/>
      <c r="O178" s="236"/>
      <c r="P178" s="241"/>
      <c r="Q178" s="241"/>
      <c r="R178" s="241"/>
      <c r="S178" s="242"/>
      <c r="T178" s="241"/>
      <c r="U178" s="241"/>
      <c r="V178" s="242"/>
      <c r="W178" s="241"/>
      <c r="X178" s="241"/>
    </row>
    <row r="179" spans="14:24" ht="15" x14ac:dyDescent="0.25">
      <c r="N179" s="117"/>
      <c r="O179" s="236"/>
      <c r="P179" s="237"/>
      <c r="Q179" s="237"/>
      <c r="R179" s="237"/>
      <c r="S179" s="237"/>
      <c r="T179" s="237"/>
      <c r="U179" s="237"/>
      <c r="V179" s="237"/>
      <c r="W179" s="241"/>
      <c r="X179" s="241"/>
    </row>
    <row r="180" spans="14:24" ht="15" x14ac:dyDescent="0.25">
      <c r="N180" s="233"/>
      <c r="O180" s="233"/>
      <c r="P180" s="233"/>
      <c r="Q180" s="233"/>
      <c r="R180" s="233"/>
      <c r="S180" s="233"/>
      <c r="T180" s="233"/>
      <c r="U180" s="237"/>
      <c r="V180" s="237"/>
      <c r="W180" s="237"/>
      <c r="X180" s="237"/>
    </row>
    <row r="181" spans="14:24" ht="15" x14ac:dyDescent="0.25">
      <c r="N181" s="238"/>
      <c r="O181" s="238"/>
      <c r="P181" s="238"/>
      <c r="Q181" s="238"/>
      <c r="R181" s="238"/>
      <c r="S181" s="238"/>
      <c r="T181" s="238"/>
      <c r="U181" s="238"/>
      <c r="V181" s="238"/>
      <c r="W181" s="237"/>
      <c r="X181" s="237"/>
    </row>
    <row r="182" spans="14:24" ht="15" x14ac:dyDescent="0.25">
      <c r="N182" s="238"/>
      <c r="O182" s="238"/>
      <c r="P182" s="116"/>
      <c r="Q182" s="116"/>
      <c r="R182" s="240"/>
      <c r="S182" s="116"/>
      <c r="T182" s="116"/>
      <c r="U182" s="240"/>
      <c r="V182" s="240"/>
      <c r="W182" s="237"/>
      <c r="X182" s="237"/>
    </row>
    <row r="183" spans="14:24" ht="15" x14ac:dyDescent="0.25">
      <c r="N183" s="236"/>
      <c r="O183" s="236"/>
      <c r="P183" s="241"/>
      <c r="Q183" s="243"/>
      <c r="R183" s="243"/>
      <c r="S183" s="241"/>
      <c r="T183" s="244"/>
      <c r="U183" s="241"/>
      <c r="V183" s="241"/>
      <c r="W183" s="237"/>
      <c r="X183" s="237"/>
    </row>
    <row r="184" spans="14:24" ht="15" x14ac:dyDescent="0.25">
      <c r="N184" s="236"/>
      <c r="O184" s="236"/>
      <c r="P184" s="241"/>
      <c r="Q184" s="237"/>
      <c r="R184" s="237"/>
      <c r="S184" s="241"/>
      <c r="T184" s="245"/>
      <c r="U184" s="241"/>
      <c r="V184" s="241"/>
      <c r="W184" s="237"/>
      <c r="X184" s="237"/>
    </row>
    <row r="185" spans="14:24" ht="15" x14ac:dyDescent="0.25">
      <c r="N185" s="236"/>
      <c r="O185" s="236"/>
      <c r="P185" s="241"/>
      <c r="Q185" s="237"/>
      <c r="R185" s="237"/>
      <c r="S185" s="241"/>
      <c r="T185" s="245"/>
      <c r="U185" s="241"/>
      <c r="V185" s="241"/>
      <c r="W185" s="237"/>
      <c r="X185" s="237"/>
    </row>
    <row r="186" spans="14:24" ht="15" x14ac:dyDescent="0.25">
      <c r="N186" s="236"/>
      <c r="O186" s="236"/>
      <c r="P186" s="241"/>
      <c r="Q186" s="237"/>
      <c r="R186" s="237"/>
      <c r="S186" s="241"/>
      <c r="T186" s="245"/>
      <c r="U186" s="241"/>
      <c r="V186" s="241"/>
      <c r="W186" s="237"/>
      <c r="X186" s="237"/>
    </row>
    <row r="187" spans="14:24" ht="15" x14ac:dyDescent="0.25">
      <c r="N187" s="236"/>
      <c r="O187" s="236"/>
      <c r="P187" s="241"/>
      <c r="Q187" s="243"/>
      <c r="R187" s="243"/>
      <c r="S187" s="241"/>
      <c r="T187" s="244"/>
      <c r="U187" s="241"/>
      <c r="V187" s="241"/>
      <c r="W187" s="237"/>
      <c r="X187" s="237"/>
    </row>
    <row r="188" spans="14:24" ht="15" x14ac:dyDescent="0.25">
      <c r="N188" s="236"/>
      <c r="O188" s="236"/>
      <c r="P188" s="241"/>
      <c r="Q188" s="237"/>
      <c r="R188" s="237"/>
      <c r="S188" s="241"/>
      <c r="T188" s="245"/>
      <c r="U188" s="241"/>
      <c r="V188" s="241"/>
      <c r="W188" s="237"/>
      <c r="X188" s="237"/>
    </row>
    <row r="189" spans="14:24" ht="15" x14ac:dyDescent="0.25">
      <c r="N189" s="236"/>
      <c r="O189" s="236"/>
      <c r="P189" s="241"/>
      <c r="Q189" s="237"/>
      <c r="R189" s="237"/>
      <c r="S189" s="241"/>
      <c r="T189" s="245"/>
      <c r="U189" s="241"/>
      <c r="V189" s="241"/>
      <c r="W189" s="237"/>
      <c r="X189" s="237"/>
    </row>
    <row r="190" spans="14:24" ht="15" x14ac:dyDescent="0.25">
      <c r="N190" s="236"/>
      <c r="O190" s="236"/>
      <c r="P190" s="241"/>
      <c r="Q190" s="237"/>
      <c r="R190" s="237"/>
      <c r="S190" s="241"/>
      <c r="T190" s="245"/>
      <c r="U190" s="241"/>
      <c r="V190" s="241"/>
      <c r="W190" s="237"/>
      <c r="X190" s="237"/>
    </row>
    <row r="191" spans="14:24" ht="15" x14ac:dyDescent="0.25">
      <c r="N191" s="236"/>
      <c r="O191" s="236"/>
      <c r="P191" s="241"/>
      <c r="Q191" s="243"/>
      <c r="R191" s="243"/>
      <c r="S191" s="241"/>
      <c r="T191" s="244"/>
      <c r="U191" s="241"/>
      <c r="V191" s="241"/>
      <c r="W191" s="237"/>
      <c r="X191" s="237"/>
    </row>
    <row r="192" spans="14:24" ht="15" x14ac:dyDescent="0.25">
      <c r="N192" s="236"/>
      <c r="O192" s="236"/>
      <c r="P192" s="241"/>
      <c r="Q192" s="237"/>
      <c r="R192" s="237"/>
      <c r="S192" s="241"/>
      <c r="T192" s="245"/>
      <c r="U192" s="241"/>
      <c r="V192" s="241"/>
      <c r="W192" s="237"/>
      <c r="X192" s="237"/>
    </row>
    <row r="193" spans="14:24" ht="15" x14ac:dyDescent="0.25">
      <c r="N193" s="236"/>
      <c r="O193" s="236"/>
      <c r="P193" s="241"/>
      <c r="Q193" s="237"/>
      <c r="R193" s="237"/>
      <c r="S193" s="241"/>
      <c r="T193" s="245"/>
      <c r="U193" s="241"/>
      <c r="V193" s="241"/>
      <c r="W193" s="237"/>
      <c r="X193" s="237"/>
    </row>
    <row r="194" spans="14:24" ht="15" x14ac:dyDescent="0.25">
      <c r="N194" s="236"/>
      <c r="O194" s="236"/>
      <c r="P194" s="241"/>
      <c r="Q194" s="237"/>
      <c r="R194" s="237"/>
      <c r="S194" s="241"/>
      <c r="T194" s="245"/>
      <c r="U194" s="241"/>
      <c r="V194" s="241"/>
      <c r="W194" s="237"/>
      <c r="X194" s="237"/>
    </row>
    <row r="195" spans="14:24" ht="15" x14ac:dyDescent="0.25">
      <c r="N195" s="236"/>
      <c r="O195" s="236"/>
      <c r="P195" s="241"/>
      <c r="Q195" s="243"/>
      <c r="R195" s="243"/>
      <c r="S195" s="241"/>
      <c r="T195" s="244"/>
      <c r="U195" s="241"/>
      <c r="V195" s="241"/>
      <c r="W195" s="237"/>
      <c r="X195" s="237"/>
    </row>
    <row r="196" spans="14:24" ht="15" x14ac:dyDescent="0.25">
      <c r="N196" s="236"/>
      <c r="O196" s="236"/>
      <c r="P196" s="241"/>
      <c r="Q196" s="237"/>
      <c r="R196" s="237"/>
      <c r="S196" s="241"/>
      <c r="T196" s="245"/>
      <c r="U196" s="241"/>
      <c r="V196" s="241"/>
      <c r="W196" s="237"/>
      <c r="X196" s="237"/>
    </row>
    <row r="197" spans="14:24" ht="15" x14ac:dyDescent="0.25">
      <c r="N197" s="236"/>
      <c r="O197" s="236"/>
      <c r="P197" s="241"/>
      <c r="Q197" s="237"/>
      <c r="R197" s="237"/>
      <c r="S197" s="241"/>
      <c r="T197" s="245"/>
      <c r="U197" s="241"/>
      <c r="V197" s="241"/>
      <c r="W197" s="237"/>
      <c r="X197" s="237"/>
    </row>
    <row r="198" spans="14:24" ht="15" x14ac:dyDescent="0.25">
      <c r="N198" s="236"/>
      <c r="O198" s="236"/>
      <c r="P198" s="241"/>
      <c r="Q198" s="237"/>
      <c r="R198" s="237"/>
      <c r="S198" s="241"/>
      <c r="T198" s="245"/>
      <c r="U198" s="241"/>
      <c r="V198" s="241"/>
      <c r="W198" s="237"/>
      <c r="X198" s="237"/>
    </row>
    <row r="199" spans="14:24" ht="15" x14ac:dyDescent="0.25">
      <c r="N199" s="236"/>
      <c r="O199" s="236"/>
      <c r="P199" s="241"/>
      <c r="Q199" s="243"/>
      <c r="R199" s="243"/>
      <c r="S199" s="241"/>
      <c r="T199" s="244"/>
      <c r="U199" s="241"/>
      <c r="V199" s="241"/>
      <c r="W199" s="237"/>
      <c r="X199" s="237"/>
    </row>
    <row r="200" spans="14:24" ht="15" x14ac:dyDescent="0.25">
      <c r="N200" s="236"/>
      <c r="O200" s="236"/>
      <c r="P200" s="241"/>
      <c r="Q200" s="237"/>
      <c r="R200" s="237"/>
      <c r="S200" s="241"/>
      <c r="T200" s="245"/>
      <c r="U200" s="241"/>
      <c r="V200" s="241"/>
      <c r="W200" s="237"/>
      <c r="X200" s="237"/>
    </row>
    <row r="201" spans="14:24" ht="15" x14ac:dyDescent="0.25">
      <c r="N201" s="236"/>
      <c r="O201" s="236"/>
      <c r="P201" s="241"/>
      <c r="Q201" s="237"/>
      <c r="R201" s="237"/>
      <c r="S201" s="241"/>
      <c r="T201" s="245"/>
      <c r="U201" s="241"/>
      <c r="V201" s="241"/>
      <c r="W201" s="237"/>
      <c r="X201" s="237"/>
    </row>
    <row r="202" spans="14:24" ht="15" x14ac:dyDescent="0.25">
      <c r="N202" s="236"/>
      <c r="O202" s="236"/>
      <c r="P202" s="241"/>
      <c r="Q202" s="237"/>
      <c r="R202" s="237"/>
      <c r="S202" s="241"/>
      <c r="T202" s="245"/>
      <c r="U202" s="241"/>
      <c r="V202" s="241"/>
      <c r="W202" s="237"/>
      <c r="X202" s="237"/>
    </row>
    <row r="203" spans="14:24" ht="15" x14ac:dyDescent="0.25">
      <c r="N203" s="236"/>
      <c r="O203" s="236"/>
      <c r="P203" s="241"/>
      <c r="Q203" s="243"/>
      <c r="R203" s="243"/>
      <c r="S203" s="241"/>
      <c r="T203" s="244"/>
      <c r="U203" s="241"/>
      <c r="V203" s="241"/>
      <c r="W203" s="237"/>
      <c r="X203" s="237"/>
    </row>
    <row r="204" spans="14:24" ht="15" x14ac:dyDescent="0.25">
      <c r="N204" s="236"/>
      <c r="O204" s="236"/>
      <c r="P204" s="241"/>
      <c r="Q204" s="237"/>
      <c r="R204" s="237"/>
      <c r="S204" s="241"/>
      <c r="T204" s="245"/>
      <c r="U204" s="241"/>
      <c r="V204" s="241"/>
      <c r="W204" s="237"/>
      <c r="X204" s="237"/>
    </row>
    <row r="205" spans="14:24" ht="15" x14ac:dyDescent="0.25">
      <c r="N205" s="236"/>
      <c r="O205" s="236"/>
      <c r="P205" s="241"/>
      <c r="Q205" s="237"/>
      <c r="R205" s="237"/>
      <c r="S205" s="241"/>
      <c r="T205" s="245"/>
      <c r="U205" s="241"/>
      <c r="V205" s="241"/>
      <c r="W205" s="237"/>
      <c r="X205" s="237"/>
    </row>
    <row r="206" spans="14:24" ht="15" x14ac:dyDescent="0.25">
      <c r="N206" s="236"/>
      <c r="O206" s="236"/>
      <c r="P206" s="241"/>
      <c r="Q206" s="237"/>
      <c r="R206" s="237"/>
      <c r="S206" s="241"/>
      <c r="T206" s="245"/>
      <c r="U206" s="241"/>
      <c r="V206" s="241"/>
      <c r="W206" s="237"/>
      <c r="X206" s="237"/>
    </row>
    <row r="207" spans="14:24" ht="15" x14ac:dyDescent="0.25">
      <c r="N207" s="236"/>
      <c r="O207" s="236"/>
      <c r="P207" s="241"/>
      <c r="Q207" s="243"/>
      <c r="R207" s="243"/>
      <c r="S207" s="241"/>
      <c r="T207" s="244"/>
      <c r="U207" s="241"/>
      <c r="V207" s="241"/>
      <c r="W207" s="237"/>
      <c r="X207" s="237"/>
    </row>
    <row r="208" spans="14:24" ht="15" x14ac:dyDescent="0.25">
      <c r="N208" s="236"/>
      <c r="O208" s="236"/>
      <c r="P208" s="241"/>
      <c r="Q208" s="237"/>
      <c r="R208" s="237"/>
      <c r="S208" s="241"/>
      <c r="T208" s="245"/>
      <c r="U208" s="241"/>
      <c r="V208" s="241"/>
      <c r="W208" s="237"/>
      <c r="X208" s="237"/>
    </row>
    <row r="209" spans="14:24" ht="15" x14ac:dyDescent="0.25">
      <c r="N209" s="236"/>
      <c r="O209" s="236"/>
      <c r="P209" s="241"/>
      <c r="Q209" s="237"/>
      <c r="R209" s="237"/>
      <c r="S209" s="241"/>
      <c r="T209" s="245"/>
      <c r="U209" s="241"/>
      <c r="V209" s="241"/>
      <c r="W209" s="237"/>
      <c r="X209" s="237"/>
    </row>
    <row r="210" spans="14:24" ht="15" x14ac:dyDescent="0.25">
      <c r="N210" s="236"/>
      <c r="O210" s="236"/>
      <c r="P210" s="241"/>
      <c r="Q210" s="237"/>
      <c r="R210" s="237"/>
      <c r="S210" s="241"/>
      <c r="T210" s="245"/>
      <c r="U210" s="241"/>
      <c r="V210" s="241"/>
      <c r="W210" s="237"/>
      <c r="X210" s="237"/>
    </row>
    <row r="211" spans="14:24" ht="15" x14ac:dyDescent="0.25">
      <c r="N211" s="236"/>
      <c r="O211" s="236"/>
      <c r="P211" s="241"/>
      <c r="Q211" s="243"/>
      <c r="R211" s="243"/>
      <c r="S211" s="241"/>
      <c r="T211" s="244"/>
      <c r="U211" s="241"/>
      <c r="V211" s="241"/>
      <c r="W211" s="237"/>
      <c r="X211" s="237"/>
    </row>
    <row r="212" spans="14:24" ht="15" x14ac:dyDescent="0.25">
      <c r="N212" s="236"/>
      <c r="O212" s="236"/>
      <c r="P212" s="241"/>
      <c r="Q212" s="237"/>
      <c r="R212" s="237"/>
      <c r="S212" s="241"/>
      <c r="T212" s="245"/>
      <c r="U212" s="241"/>
      <c r="V212" s="241"/>
      <c r="W212" s="237"/>
      <c r="X212" s="237"/>
    </row>
    <row r="213" spans="14:24" ht="15" x14ac:dyDescent="0.25">
      <c r="N213" s="236"/>
      <c r="O213" s="236"/>
      <c r="P213" s="241"/>
      <c r="Q213" s="237"/>
      <c r="R213" s="237"/>
      <c r="S213" s="241"/>
      <c r="T213" s="245"/>
      <c r="U213" s="241"/>
      <c r="V213" s="241"/>
      <c r="W213" s="237"/>
      <c r="X213" s="237"/>
    </row>
    <row r="214" spans="14:24" ht="15" x14ac:dyDescent="0.25">
      <c r="N214" s="236"/>
      <c r="O214" s="236"/>
      <c r="P214" s="241"/>
      <c r="Q214" s="237"/>
      <c r="R214" s="237"/>
      <c r="S214" s="241"/>
      <c r="T214" s="245"/>
      <c r="U214" s="241"/>
      <c r="V214" s="241"/>
      <c r="W214" s="237"/>
      <c r="X214" s="237"/>
    </row>
    <row r="215" spans="14:24" ht="15" x14ac:dyDescent="0.25">
      <c r="N215" s="236"/>
      <c r="O215" s="236"/>
      <c r="P215" s="241"/>
      <c r="Q215" s="243"/>
      <c r="R215" s="243"/>
      <c r="S215" s="241"/>
      <c r="T215" s="244"/>
      <c r="U215" s="241"/>
      <c r="V215" s="241"/>
      <c r="W215" s="237"/>
      <c r="X215" s="237"/>
    </row>
    <row r="216" spans="14:24" ht="15" x14ac:dyDescent="0.25">
      <c r="N216" s="236"/>
      <c r="O216" s="236"/>
      <c r="P216" s="241"/>
      <c r="Q216" s="237"/>
      <c r="R216" s="237"/>
      <c r="S216" s="241"/>
      <c r="T216" s="245"/>
      <c r="U216" s="241"/>
      <c r="V216" s="241"/>
      <c r="W216" s="237"/>
      <c r="X216" s="237"/>
    </row>
    <row r="217" spans="14:24" ht="15" x14ac:dyDescent="0.25">
      <c r="N217" s="236"/>
      <c r="O217" s="236"/>
      <c r="P217" s="241"/>
      <c r="Q217" s="237"/>
      <c r="R217" s="237"/>
      <c r="S217" s="241"/>
      <c r="T217" s="245"/>
      <c r="U217" s="241"/>
      <c r="V217" s="241"/>
      <c r="W217" s="237"/>
      <c r="X217" s="237"/>
    </row>
    <row r="218" spans="14:24" ht="15" x14ac:dyDescent="0.25">
      <c r="N218" s="236"/>
      <c r="O218" s="236"/>
      <c r="P218" s="241"/>
      <c r="Q218" s="237"/>
      <c r="R218" s="237"/>
      <c r="S218" s="241"/>
      <c r="T218" s="245"/>
      <c r="U218" s="241"/>
      <c r="V218" s="241"/>
      <c r="W218" s="237"/>
      <c r="X218" s="237"/>
    </row>
    <row r="219" spans="14:24" ht="15" x14ac:dyDescent="0.25">
      <c r="N219" s="236"/>
      <c r="O219" s="236"/>
      <c r="P219" s="241"/>
      <c r="Q219" s="243"/>
      <c r="R219" s="243"/>
      <c r="S219" s="241"/>
      <c r="T219" s="244"/>
      <c r="U219" s="241"/>
      <c r="V219" s="241"/>
      <c r="W219" s="237"/>
      <c r="X219" s="237"/>
    </row>
    <row r="220" spans="14:24" ht="15" x14ac:dyDescent="0.25">
      <c r="N220" s="236"/>
      <c r="O220" s="236"/>
      <c r="P220" s="241"/>
      <c r="Q220" s="237"/>
      <c r="R220" s="237"/>
      <c r="S220" s="241"/>
      <c r="T220" s="245"/>
      <c r="U220" s="241"/>
      <c r="V220" s="241"/>
      <c r="W220" s="237"/>
      <c r="X220" s="237"/>
    </row>
    <row r="221" spans="14:24" ht="15" x14ac:dyDescent="0.25">
      <c r="N221" s="236"/>
      <c r="O221" s="236"/>
      <c r="P221" s="241"/>
      <c r="Q221" s="237"/>
      <c r="R221" s="237"/>
      <c r="S221" s="241"/>
      <c r="T221" s="245"/>
      <c r="U221" s="241"/>
      <c r="V221" s="241"/>
      <c r="W221" s="237"/>
      <c r="X221" s="237"/>
    </row>
    <row r="222" spans="14:24" ht="15" x14ac:dyDescent="0.25">
      <c r="N222" s="236"/>
      <c r="O222" s="236"/>
      <c r="P222" s="236"/>
      <c r="Q222" s="237"/>
      <c r="R222" s="237"/>
      <c r="S222" s="236"/>
      <c r="T222" s="245"/>
      <c r="U222" s="236"/>
      <c r="V222" s="236"/>
      <c r="W222" s="237"/>
      <c r="X222" s="237"/>
    </row>
    <row r="223" spans="14:24" ht="15" x14ac:dyDescent="0.25">
      <c r="N223" s="232"/>
      <c r="O223" s="233"/>
      <c r="P223" s="233"/>
      <c r="Q223" s="233"/>
      <c r="R223" s="233"/>
      <c r="S223" s="233"/>
      <c r="T223" s="233"/>
      <c r="U223" s="237"/>
      <c r="V223" s="237"/>
      <c r="W223" s="237"/>
      <c r="X223" s="237"/>
    </row>
    <row r="224" spans="14:24" ht="15" x14ac:dyDescent="0.25">
      <c r="N224" s="238"/>
      <c r="O224" s="238"/>
      <c r="P224" s="238"/>
      <c r="Q224" s="238"/>
      <c r="R224" s="238"/>
      <c r="S224" s="238"/>
      <c r="T224" s="238"/>
      <c r="U224" s="238"/>
      <c r="V224" s="238"/>
      <c r="W224" s="237"/>
      <c r="X224" s="237"/>
    </row>
    <row r="225" spans="14:24" ht="15" x14ac:dyDescent="0.25">
      <c r="N225" s="238"/>
      <c r="O225" s="238"/>
      <c r="P225" s="116"/>
      <c r="Q225" s="116"/>
      <c r="R225" s="240"/>
      <c r="S225" s="116"/>
      <c r="T225" s="116"/>
      <c r="U225" s="240"/>
      <c r="V225" s="240"/>
      <c r="W225" s="237"/>
      <c r="X225" s="237"/>
    </row>
    <row r="226" spans="14:24" ht="15" x14ac:dyDescent="0.25">
      <c r="N226" s="236"/>
      <c r="O226" s="236"/>
      <c r="P226" s="241"/>
      <c r="Q226" s="243"/>
      <c r="R226" s="243"/>
      <c r="S226" s="241"/>
      <c r="T226" s="244"/>
      <c r="U226" s="241"/>
      <c r="V226" s="241"/>
      <c r="W226" s="237"/>
      <c r="X226" s="237"/>
    </row>
    <row r="227" spans="14:24" ht="15" x14ac:dyDescent="0.25">
      <c r="N227" s="236"/>
      <c r="O227" s="236"/>
      <c r="P227" s="241"/>
      <c r="Q227" s="242"/>
      <c r="R227" s="242"/>
      <c r="S227" s="241"/>
      <c r="T227" s="244"/>
      <c r="U227" s="241"/>
      <c r="V227" s="241"/>
      <c r="W227" s="237"/>
      <c r="X227" s="237"/>
    </row>
    <row r="228" spans="14:24" ht="15" x14ac:dyDescent="0.25">
      <c r="N228" s="236"/>
      <c r="O228" s="236"/>
      <c r="P228" s="241"/>
      <c r="Q228" s="242"/>
      <c r="R228" s="242"/>
      <c r="S228" s="241"/>
      <c r="T228" s="244"/>
      <c r="U228" s="241"/>
      <c r="V228" s="241"/>
      <c r="W228" s="237"/>
      <c r="X228" s="237"/>
    </row>
    <row r="229" spans="14:24" ht="15" x14ac:dyDescent="0.25">
      <c r="N229" s="236"/>
      <c r="O229" s="236"/>
      <c r="P229" s="241"/>
      <c r="Q229" s="243"/>
      <c r="R229" s="243"/>
      <c r="S229" s="241"/>
      <c r="T229" s="244"/>
      <c r="U229" s="241"/>
      <c r="V229" s="241"/>
      <c r="W229" s="237"/>
      <c r="X229" s="237"/>
    </row>
    <row r="230" spans="14:24" ht="15" x14ac:dyDescent="0.25">
      <c r="N230" s="236"/>
      <c r="O230" s="236"/>
      <c r="P230" s="241"/>
      <c r="Q230" s="242"/>
      <c r="R230" s="242"/>
      <c r="S230" s="241"/>
      <c r="T230" s="244"/>
      <c r="U230" s="241"/>
      <c r="V230" s="241"/>
      <c r="W230" s="237"/>
      <c r="X230" s="237"/>
    </row>
    <row r="231" spans="14:24" ht="15" x14ac:dyDescent="0.25">
      <c r="N231" s="236"/>
      <c r="O231" s="236"/>
      <c r="P231" s="241"/>
      <c r="Q231" s="242"/>
      <c r="R231" s="242"/>
      <c r="S231" s="241"/>
      <c r="T231" s="244"/>
      <c r="U231" s="241"/>
      <c r="V231" s="241"/>
      <c r="W231" s="237"/>
      <c r="X231" s="237"/>
    </row>
    <row r="232" spans="14:24" ht="15" x14ac:dyDescent="0.25">
      <c r="N232" s="236"/>
      <c r="O232" s="236"/>
      <c r="P232" s="241"/>
      <c r="Q232" s="243"/>
      <c r="R232" s="243"/>
      <c r="S232" s="241"/>
      <c r="T232" s="244"/>
      <c r="U232" s="241"/>
      <c r="V232" s="241"/>
      <c r="W232" s="237"/>
      <c r="X232" s="237"/>
    </row>
    <row r="233" spans="14:24" ht="15" x14ac:dyDescent="0.25">
      <c r="N233" s="236"/>
      <c r="O233" s="236"/>
      <c r="P233" s="241"/>
      <c r="Q233" s="242"/>
      <c r="R233" s="242"/>
      <c r="S233" s="241"/>
      <c r="T233" s="244"/>
      <c r="U233" s="241"/>
      <c r="V233" s="241"/>
      <c r="W233" s="237"/>
      <c r="X233" s="237"/>
    </row>
    <row r="234" spans="14:24" ht="15" x14ac:dyDescent="0.25">
      <c r="N234" s="236"/>
      <c r="O234" s="236"/>
      <c r="P234" s="241"/>
      <c r="Q234" s="242"/>
      <c r="R234" s="242"/>
      <c r="S234" s="241"/>
      <c r="T234" s="244"/>
      <c r="U234" s="241"/>
      <c r="V234" s="241"/>
      <c r="W234" s="237"/>
      <c r="X234" s="237"/>
    </row>
    <row r="235" spans="14:24" ht="15" x14ac:dyDescent="0.25">
      <c r="N235" s="236"/>
      <c r="O235" s="236"/>
      <c r="P235" s="241"/>
      <c r="Q235" s="243"/>
      <c r="R235" s="243"/>
      <c r="S235" s="241"/>
      <c r="T235" s="244"/>
      <c r="U235" s="241"/>
      <c r="V235" s="241"/>
      <c r="W235" s="237"/>
      <c r="X235" s="237"/>
    </row>
    <row r="236" spans="14:24" ht="15" x14ac:dyDescent="0.25">
      <c r="N236" s="236"/>
      <c r="O236" s="236"/>
      <c r="P236" s="241"/>
      <c r="Q236" s="242"/>
      <c r="R236" s="242"/>
      <c r="S236" s="241"/>
      <c r="T236" s="244"/>
      <c r="U236" s="241"/>
      <c r="V236" s="241"/>
      <c r="W236" s="237"/>
      <c r="X236" s="237"/>
    </row>
    <row r="237" spans="14:24" ht="15" x14ac:dyDescent="0.25">
      <c r="N237" s="236"/>
      <c r="O237" s="236"/>
      <c r="P237" s="241"/>
      <c r="Q237" s="242"/>
      <c r="R237" s="242"/>
      <c r="S237" s="241"/>
      <c r="T237" s="244"/>
      <c r="U237" s="241"/>
      <c r="V237" s="241"/>
      <c r="W237" s="237"/>
      <c r="X237" s="237"/>
    </row>
    <row r="238" spans="14:24" ht="15" x14ac:dyDescent="0.25">
      <c r="N238" s="236"/>
      <c r="O238" s="236"/>
      <c r="P238" s="241"/>
      <c r="Q238" s="243"/>
      <c r="R238" s="243"/>
      <c r="S238" s="241"/>
      <c r="T238" s="244"/>
      <c r="U238" s="241"/>
      <c r="V238" s="241"/>
      <c r="W238" s="237"/>
      <c r="X238" s="237"/>
    </row>
    <row r="239" spans="14:24" ht="15" x14ac:dyDescent="0.25">
      <c r="N239" s="236"/>
      <c r="O239" s="236"/>
      <c r="P239" s="241"/>
      <c r="Q239" s="242"/>
      <c r="R239" s="242"/>
      <c r="S239" s="241"/>
      <c r="T239" s="244"/>
      <c r="U239" s="241"/>
      <c r="V239" s="241"/>
      <c r="W239" s="237"/>
      <c r="X239" s="237"/>
    </row>
    <row r="240" spans="14:24" ht="15" x14ac:dyDescent="0.25">
      <c r="N240" s="236"/>
      <c r="O240" s="236"/>
      <c r="P240" s="241"/>
      <c r="Q240" s="242"/>
      <c r="R240" s="242"/>
      <c r="S240" s="241"/>
      <c r="T240" s="244"/>
      <c r="U240" s="241"/>
      <c r="V240" s="241"/>
      <c r="W240" s="237"/>
      <c r="X240" s="237"/>
    </row>
    <row r="241" spans="14:24" ht="15" x14ac:dyDescent="0.25">
      <c r="N241" s="236"/>
      <c r="O241" s="236"/>
      <c r="P241" s="241"/>
      <c r="Q241" s="243"/>
      <c r="R241" s="243"/>
      <c r="S241" s="241"/>
      <c r="T241" s="244"/>
      <c r="U241" s="241"/>
      <c r="V241" s="241"/>
      <c r="W241" s="237"/>
      <c r="X241" s="237"/>
    </row>
    <row r="242" spans="14:24" ht="15" x14ac:dyDescent="0.25">
      <c r="N242" s="236"/>
      <c r="O242" s="236"/>
      <c r="P242" s="241"/>
      <c r="Q242" s="242"/>
      <c r="R242" s="242"/>
      <c r="S242" s="241"/>
      <c r="T242" s="244"/>
      <c r="U242" s="241"/>
      <c r="V242" s="241"/>
      <c r="W242" s="237"/>
      <c r="X242" s="237"/>
    </row>
    <row r="243" spans="14:24" ht="15" x14ac:dyDescent="0.25">
      <c r="N243" s="236"/>
      <c r="O243" s="236"/>
      <c r="P243" s="241"/>
      <c r="Q243" s="242"/>
      <c r="R243" s="242"/>
      <c r="S243" s="241"/>
      <c r="T243" s="244"/>
      <c r="U243" s="241"/>
      <c r="V243" s="241"/>
      <c r="W243" s="237"/>
      <c r="X243" s="237"/>
    </row>
    <row r="244" spans="14:24" ht="15" x14ac:dyDescent="0.25">
      <c r="N244" s="236"/>
      <c r="O244" s="236"/>
      <c r="P244" s="241"/>
      <c r="Q244" s="243"/>
      <c r="R244" s="243"/>
      <c r="S244" s="241"/>
      <c r="T244" s="244"/>
      <c r="U244" s="241"/>
      <c r="V244" s="241"/>
      <c r="W244" s="237"/>
      <c r="X244" s="237"/>
    </row>
    <row r="245" spans="14:24" ht="15" x14ac:dyDescent="0.25">
      <c r="N245" s="236"/>
      <c r="O245" s="236"/>
      <c r="P245" s="241"/>
      <c r="Q245" s="242"/>
      <c r="R245" s="242"/>
      <c r="S245" s="241"/>
      <c r="T245" s="244"/>
      <c r="U245" s="241"/>
      <c r="V245" s="241"/>
      <c r="W245" s="237"/>
      <c r="X245" s="237"/>
    </row>
    <row r="246" spans="14:24" ht="15" x14ac:dyDescent="0.25">
      <c r="N246" s="236"/>
      <c r="O246" s="236"/>
      <c r="P246" s="241"/>
      <c r="Q246" s="242"/>
      <c r="R246" s="242"/>
      <c r="S246" s="241"/>
      <c r="T246" s="244"/>
      <c r="U246" s="241"/>
      <c r="V246" s="241"/>
      <c r="W246" s="237"/>
      <c r="X246" s="237"/>
    </row>
    <row r="247" spans="14:24" ht="15" x14ac:dyDescent="0.25">
      <c r="N247" s="236"/>
      <c r="O247" s="236"/>
      <c r="P247" s="241"/>
      <c r="Q247" s="243"/>
      <c r="R247" s="243"/>
      <c r="S247" s="241"/>
      <c r="T247" s="244"/>
      <c r="U247" s="241"/>
      <c r="V247" s="241"/>
      <c r="W247" s="237"/>
      <c r="X247" s="237"/>
    </row>
    <row r="248" spans="14:24" ht="15" x14ac:dyDescent="0.25">
      <c r="N248" s="236"/>
      <c r="O248" s="236"/>
      <c r="P248" s="241"/>
      <c r="Q248" s="242"/>
      <c r="R248" s="242"/>
      <c r="S248" s="241"/>
      <c r="T248" s="244"/>
      <c r="U248" s="241"/>
      <c r="V248" s="241"/>
      <c r="W248" s="237"/>
      <c r="X248" s="237"/>
    </row>
    <row r="249" spans="14:24" ht="15" x14ac:dyDescent="0.25">
      <c r="N249" s="236"/>
      <c r="O249" s="236"/>
      <c r="P249" s="241"/>
      <c r="Q249" s="242"/>
      <c r="R249" s="242"/>
      <c r="S249" s="241"/>
      <c r="T249" s="244"/>
      <c r="U249" s="241"/>
      <c r="V249" s="241"/>
      <c r="W249" s="237"/>
      <c r="X249" s="237"/>
    </row>
    <row r="250" spans="14:24" ht="15" x14ac:dyDescent="0.25">
      <c r="N250" s="236"/>
      <c r="O250" s="236"/>
      <c r="P250" s="241"/>
      <c r="Q250" s="243"/>
      <c r="R250" s="243"/>
      <c r="S250" s="241"/>
      <c r="T250" s="244"/>
      <c r="U250" s="241"/>
      <c r="V250" s="241"/>
      <c r="W250" s="237"/>
      <c r="X250" s="237"/>
    </row>
    <row r="251" spans="14:24" ht="15" x14ac:dyDescent="0.25">
      <c r="N251" s="236"/>
      <c r="O251" s="236"/>
      <c r="P251" s="241"/>
      <c r="Q251" s="242"/>
      <c r="R251" s="242"/>
      <c r="S251" s="241"/>
      <c r="T251" s="244"/>
      <c r="U251" s="241"/>
      <c r="V251" s="241"/>
      <c r="W251" s="237"/>
      <c r="X251" s="237"/>
    </row>
    <row r="252" spans="14:24" ht="15" x14ac:dyDescent="0.25">
      <c r="N252" s="236"/>
      <c r="O252" s="236"/>
      <c r="P252" s="241"/>
      <c r="Q252" s="242"/>
      <c r="R252" s="242"/>
      <c r="S252" s="241"/>
      <c r="T252" s="244"/>
      <c r="U252" s="241"/>
      <c r="V252" s="241"/>
      <c r="W252" s="237"/>
      <c r="X252" s="237"/>
    </row>
    <row r="253" spans="14:24" ht="15" x14ac:dyDescent="0.25">
      <c r="N253" s="236"/>
      <c r="O253" s="236"/>
      <c r="P253" s="241"/>
      <c r="Q253" s="243"/>
      <c r="R253" s="243"/>
      <c r="S253" s="241"/>
      <c r="T253" s="244"/>
      <c r="U253" s="241"/>
      <c r="V253" s="241"/>
      <c r="W253" s="237"/>
      <c r="X253" s="237"/>
    </row>
    <row r="254" spans="14:24" ht="15" x14ac:dyDescent="0.25">
      <c r="N254" s="236"/>
      <c r="O254" s="236"/>
      <c r="P254" s="241"/>
      <c r="Q254" s="237"/>
      <c r="R254" s="237"/>
      <c r="S254" s="241"/>
      <c r="T254" s="237"/>
      <c r="U254" s="241"/>
      <c r="V254" s="241"/>
      <c r="W254" s="237"/>
      <c r="X254" s="237"/>
    </row>
    <row r="255" spans="14:24" ht="15" x14ac:dyDescent="0.25">
      <c r="N255" s="236"/>
      <c r="O255" s="236"/>
      <c r="P255" s="241"/>
      <c r="Q255" s="237"/>
      <c r="R255" s="237"/>
      <c r="S255" s="241"/>
      <c r="T255" s="237"/>
      <c r="U255" s="241"/>
      <c r="V255" s="241"/>
      <c r="W255" s="237"/>
      <c r="X255" s="237"/>
    </row>
  </sheetData>
  <mergeCells count="39">
    <mergeCell ref="D2:G2"/>
    <mergeCell ref="T3:V3"/>
    <mergeCell ref="T19:V19"/>
    <mergeCell ref="T46:V46"/>
    <mergeCell ref="T53:V53"/>
    <mergeCell ref="T64:T65"/>
    <mergeCell ref="T66:T67"/>
    <mergeCell ref="T68:T69"/>
    <mergeCell ref="N130:T130"/>
    <mergeCell ref="P131:Q131"/>
    <mergeCell ref="R131:S131"/>
    <mergeCell ref="R132:S132"/>
    <mergeCell ref="R133:S133"/>
    <mergeCell ref="P134:Q135"/>
    <mergeCell ref="R134:S134"/>
    <mergeCell ref="R135:S135"/>
    <mergeCell ref="O132:O135"/>
    <mergeCell ref="N132:N135"/>
    <mergeCell ref="P136:Q137"/>
    <mergeCell ref="P138:Q138"/>
    <mergeCell ref="P139:Q139"/>
    <mergeCell ref="N136:N140"/>
    <mergeCell ref="O136:O140"/>
    <mergeCell ref="P132:Q133"/>
    <mergeCell ref="N141:N144"/>
    <mergeCell ref="O141:O144"/>
    <mergeCell ref="R136:S136"/>
    <mergeCell ref="R137:S137"/>
    <mergeCell ref="R138:S138"/>
    <mergeCell ref="R139:S139"/>
    <mergeCell ref="R140:S140"/>
    <mergeCell ref="R141:S141"/>
    <mergeCell ref="R142:S142"/>
    <mergeCell ref="R143:S143"/>
    <mergeCell ref="R144:S144"/>
    <mergeCell ref="P140:Q140"/>
    <mergeCell ref="P141:Q141"/>
    <mergeCell ref="P142:Q142"/>
    <mergeCell ref="P143:Q144"/>
  </mergeCells>
  <phoneticPr fontId="8" type="noConversion"/>
  <pageMargins left="0.7" right="0.7" top="0.75" bottom="0.75" header="0.3" footer="0.3"/>
  <pageSetup orientation="portrait" horizontalDpi="4294967293" verticalDpi="4294967293" r:id="rId1"/>
  <drawing r:id="rId2"/>
  <legacyDrawing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Q52"/>
  <sheetViews>
    <sheetView zoomScale="98" zoomScaleNormal="98" workbookViewId="0">
      <selection activeCell="B2" sqref="B2"/>
    </sheetView>
  </sheetViews>
  <sheetFormatPr defaultRowHeight="12.75" x14ac:dyDescent="0.2"/>
  <cols>
    <col min="2" max="2" width="18.42578125" style="121" bestFit="1" customWidth="1"/>
    <col min="3" max="3" width="19.28515625" bestFit="1" customWidth="1"/>
    <col min="4" max="4" width="27" bestFit="1" customWidth="1"/>
    <col min="5" max="5" width="27" style="121" customWidth="1"/>
    <col min="6" max="6" width="25.85546875" bestFit="1" customWidth="1"/>
    <col min="7" max="7" width="33.42578125" bestFit="1" customWidth="1"/>
    <col min="8" max="8" width="33.42578125" style="121" customWidth="1"/>
    <col min="9" max="9" width="28.42578125" bestFit="1" customWidth="1"/>
    <col min="10" max="11" width="28.42578125" style="121" customWidth="1"/>
    <col min="13" max="13" width="23.5703125" bestFit="1" customWidth="1"/>
    <col min="14" max="14" width="23.5703125" style="121" customWidth="1"/>
    <col min="15" max="15" width="12.42578125" bestFit="1" customWidth="1"/>
  </cols>
  <sheetData>
    <row r="2" spans="1:17" ht="15" x14ac:dyDescent="0.25">
      <c r="B2" s="119" t="s">
        <v>288</v>
      </c>
      <c r="C2" s="119" t="s">
        <v>280</v>
      </c>
      <c r="D2" s="119" t="s">
        <v>281</v>
      </c>
      <c r="E2" s="119"/>
      <c r="F2" s="119" t="s">
        <v>282</v>
      </c>
      <c r="G2" s="119" t="s">
        <v>283</v>
      </c>
      <c r="H2" s="119" t="s">
        <v>289</v>
      </c>
      <c r="I2" s="119" t="s">
        <v>286</v>
      </c>
      <c r="J2" s="119" t="s">
        <v>287</v>
      </c>
      <c r="K2" s="119" t="s">
        <v>220</v>
      </c>
      <c r="M2" s="119" t="s">
        <v>284</v>
      </c>
      <c r="N2" s="119" t="s">
        <v>285</v>
      </c>
      <c r="O2" s="119" t="s">
        <v>214</v>
      </c>
    </row>
    <row r="3" spans="1:17" ht="15" x14ac:dyDescent="0.25">
      <c r="A3">
        <v>1</v>
      </c>
      <c r="B3" s="128">
        <f>'A-C &amp; Heat Pumps'!G6*12000</f>
        <v>0</v>
      </c>
      <c r="C3" s="127">
        <f>'A-C &amp; Heat Pumps'!L6*'A-C &amp; Heat Pumps'!N6</f>
        <v>0</v>
      </c>
      <c r="D3" s="127">
        <f>'A-C &amp; Heat Pumps'!M6*'A-C &amp; Heat Pumps'!O6</f>
        <v>0</v>
      </c>
      <c r="E3" s="231" t="e">
        <f>(C3-D3)/C3</f>
        <v>#DIV/0!</v>
      </c>
      <c r="F3" s="126" t="e">
        <f>B3/'HVAC Calcs'!C3</f>
        <v>#DIV/0!</v>
      </c>
      <c r="G3" s="126" t="e">
        <f>B3/'HVAC Calcs'!D3</f>
        <v>#DIV/0!</v>
      </c>
      <c r="H3" s="125" t="e">
        <f>(1/F3)-(1/G3)</f>
        <v>#DIV/0!</v>
      </c>
      <c r="I3" s="148" t="e">
        <f>VLOOKUP('A-C &amp; Heat Pumps'!$E$4,References!$N$103:$Q$115,2,FALSE)</f>
        <v>#N/A</v>
      </c>
      <c r="J3" s="148" t="e">
        <f>VLOOKUP('A-C &amp; Heat Pumps'!$E$4,References!$N$103:$Q$115,3,FALSE)</f>
        <v>#N/A</v>
      </c>
      <c r="K3" s="100" t="e">
        <f>VLOOKUP('A-C &amp; Heat Pumps'!$E$4,References!$N$103:$Q$115,4,FALSE)</f>
        <v>#N/A</v>
      </c>
      <c r="M3" s="128" t="e">
        <f>(B3/1000)*I3*H3</f>
        <v>#N/A</v>
      </c>
      <c r="N3" s="115" t="e">
        <f>IF('A-C &amp; Heat Pumps'!$C6&gt;References!$F$12,B3/1000*J3*H3,0)</f>
        <v>#N/A</v>
      </c>
      <c r="O3" s="120" t="e">
        <f>(B3/1000)*H3*K3</f>
        <v>#DIV/0!</v>
      </c>
    </row>
    <row r="4" spans="1:17" ht="15" x14ac:dyDescent="0.25">
      <c r="A4">
        <v>2</v>
      </c>
      <c r="B4" s="128">
        <f>'A-C &amp; Heat Pumps'!G7*12000</f>
        <v>0</v>
      </c>
      <c r="C4" s="127">
        <f>'A-C &amp; Heat Pumps'!L7*'A-C &amp; Heat Pumps'!N7</f>
        <v>0</v>
      </c>
      <c r="D4" s="127">
        <f>'A-C &amp; Heat Pumps'!M7*'A-C &amp; Heat Pumps'!O7</f>
        <v>0</v>
      </c>
      <c r="E4" s="231" t="e">
        <f t="shared" ref="E4:E52" si="0">(C4-D4)/C4</f>
        <v>#DIV/0!</v>
      </c>
      <c r="F4" s="126" t="e">
        <f>B4/'HVAC Calcs'!C4</f>
        <v>#DIV/0!</v>
      </c>
      <c r="G4" s="126" t="e">
        <f>B4/'HVAC Calcs'!D4</f>
        <v>#DIV/0!</v>
      </c>
      <c r="H4" s="125" t="e">
        <f t="shared" ref="H4:H52" si="1">(1/F4)-(1/G4)</f>
        <v>#DIV/0!</v>
      </c>
      <c r="I4" s="148" t="e">
        <f>VLOOKUP('A-C &amp; Heat Pumps'!$E$4,References!$N$103:$Q$115,2,FALSE)</f>
        <v>#N/A</v>
      </c>
      <c r="J4" s="148" t="e">
        <f>VLOOKUP('A-C &amp; Heat Pumps'!$E$4,References!$N$103:$Q$115,3,FALSE)</f>
        <v>#N/A</v>
      </c>
      <c r="K4" s="100" t="e">
        <f>VLOOKUP('A-C &amp; Heat Pumps'!$E$4,References!$N$103:$Q$112,4,FALSE)</f>
        <v>#N/A</v>
      </c>
      <c r="M4" s="128" t="e">
        <f t="shared" ref="M4:M52" si="2">(B4/1000)*I4*H4</f>
        <v>#N/A</v>
      </c>
      <c r="N4" s="115" t="e">
        <f>IF('A-C &amp; Heat Pumps'!$C7&gt;References!$F$12,B4/1000*J4*H4,0)</f>
        <v>#N/A</v>
      </c>
      <c r="O4" s="120" t="e">
        <f t="shared" ref="O4:O52" si="3">(B4/1000)*H4*K4</f>
        <v>#DIV/0!</v>
      </c>
      <c r="Q4" s="121"/>
    </row>
    <row r="5" spans="1:17" ht="15" x14ac:dyDescent="0.25">
      <c r="A5">
        <v>3</v>
      </c>
      <c r="B5" s="128">
        <f>'A-C &amp; Heat Pumps'!G8*12000</f>
        <v>0</v>
      </c>
      <c r="C5" s="127">
        <f>'A-C &amp; Heat Pumps'!L8*'A-C &amp; Heat Pumps'!N8</f>
        <v>0</v>
      </c>
      <c r="D5" s="127">
        <f>'A-C &amp; Heat Pumps'!M8*'A-C &amp; Heat Pumps'!O8</f>
        <v>0</v>
      </c>
      <c r="E5" s="231" t="e">
        <f t="shared" si="0"/>
        <v>#DIV/0!</v>
      </c>
      <c r="F5" s="126" t="e">
        <f>B5/'HVAC Calcs'!C5</f>
        <v>#DIV/0!</v>
      </c>
      <c r="G5" s="126" t="e">
        <f>B5/'HVAC Calcs'!D5</f>
        <v>#DIV/0!</v>
      </c>
      <c r="H5" s="125" t="e">
        <f t="shared" si="1"/>
        <v>#DIV/0!</v>
      </c>
      <c r="I5" s="148" t="e">
        <f>VLOOKUP('A-C &amp; Heat Pumps'!$E$4,References!$N$103:$Q$115,2,FALSE)</f>
        <v>#N/A</v>
      </c>
      <c r="J5" s="148" t="e">
        <f>VLOOKUP('A-C &amp; Heat Pumps'!$E$4,References!$N$103:$Q$115,3,FALSE)</f>
        <v>#N/A</v>
      </c>
      <c r="K5" s="100" t="e">
        <f>VLOOKUP('A-C &amp; Heat Pumps'!$E$4,References!$N$103:$Q$112,4,FALSE)</f>
        <v>#N/A</v>
      </c>
      <c r="M5" s="128" t="e">
        <f t="shared" si="2"/>
        <v>#N/A</v>
      </c>
      <c r="N5" s="115" t="e">
        <f>IF('A-C &amp; Heat Pumps'!$C8&gt;References!$F$12,B5/1000*J5*H5,0)</f>
        <v>#N/A</v>
      </c>
      <c r="O5" s="120" t="e">
        <f t="shared" si="3"/>
        <v>#DIV/0!</v>
      </c>
      <c r="Q5" s="121"/>
    </row>
    <row r="6" spans="1:17" ht="15" x14ac:dyDescent="0.25">
      <c r="A6">
        <v>4</v>
      </c>
      <c r="B6" s="128">
        <f>'A-C &amp; Heat Pumps'!G9*12000</f>
        <v>0</v>
      </c>
      <c r="C6" s="127">
        <f>'A-C &amp; Heat Pumps'!L9*'A-C &amp; Heat Pumps'!N9</f>
        <v>0</v>
      </c>
      <c r="D6" s="127">
        <f>'A-C &amp; Heat Pumps'!M9*'A-C &amp; Heat Pumps'!O9</f>
        <v>0</v>
      </c>
      <c r="E6" s="231" t="e">
        <f t="shared" si="0"/>
        <v>#DIV/0!</v>
      </c>
      <c r="F6" s="126" t="e">
        <f>B6/'HVAC Calcs'!C6</f>
        <v>#DIV/0!</v>
      </c>
      <c r="G6" s="126" t="e">
        <f>B6/'HVAC Calcs'!D6</f>
        <v>#DIV/0!</v>
      </c>
      <c r="H6" s="125" t="e">
        <f t="shared" si="1"/>
        <v>#DIV/0!</v>
      </c>
      <c r="I6" s="148" t="e">
        <f>VLOOKUP('A-C &amp; Heat Pumps'!$E$4,References!$N$103:$Q$115,2,FALSE)</f>
        <v>#N/A</v>
      </c>
      <c r="J6" s="148" t="e">
        <f>VLOOKUP('A-C &amp; Heat Pumps'!$E$4,References!$N$103:$Q$115,3,FALSE)</f>
        <v>#N/A</v>
      </c>
      <c r="K6" s="100" t="e">
        <f>VLOOKUP('A-C &amp; Heat Pumps'!$E$4,References!$N$103:$Q$112,4,FALSE)</f>
        <v>#N/A</v>
      </c>
      <c r="M6" s="128" t="e">
        <f t="shared" si="2"/>
        <v>#N/A</v>
      </c>
      <c r="N6" s="115" t="e">
        <f>IF('A-C &amp; Heat Pumps'!$C9&gt;References!$F$12,B6/1000*J6*H6,0)</f>
        <v>#N/A</v>
      </c>
      <c r="O6" s="120" t="e">
        <f t="shared" si="3"/>
        <v>#DIV/0!</v>
      </c>
      <c r="Q6" s="121"/>
    </row>
    <row r="7" spans="1:17" ht="15" x14ac:dyDescent="0.25">
      <c r="A7">
        <v>5</v>
      </c>
      <c r="B7" s="128">
        <f>'A-C &amp; Heat Pumps'!G10*12000</f>
        <v>0</v>
      </c>
      <c r="C7" s="127">
        <f>'A-C &amp; Heat Pumps'!L10*'A-C &amp; Heat Pumps'!N10</f>
        <v>0</v>
      </c>
      <c r="D7" s="127">
        <f>'A-C &amp; Heat Pumps'!M10*'A-C &amp; Heat Pumps'!O10</f>
        <v>0</v>
      </c>
      <c r="E7" s="231" t="e">
        <f t="shared" si="0"/>
        <v>#DIV/0!</v>
      </c>
      <c r="F7" s="126" t="e">
        <f>B7/'HVAC Calcs'!C7</f>
        <v>#DIV/0!</v>
      </c>
      <c r="G7" s="126" t="e">
        <f>B7/'HVAC Calcs'!D7</f>
        <v>#DIV/0!</v>
      </c>
      <c r="H7" s="125" t="e">
        <f t="shared" si="1"/>
        <v>#DIV/0!</v>
      </c>
      <c r="I7" s="148" t="e">
        <f>VLOOKUP('A-C &amp; Heat Pumps'!$E$4,References!$N$103:$Q$115,2,FALSE)</f>
        <v>#N/A</v>
      </c>
      <c r="J7" s="148" t="e">
        <f>VLOOKUP('A-C &amp; Heat Pumps'!$E$4,References!$N$103:$Q$115,3,FALSE)</f>
        <v>#N/A</v>
      </c>
      <c r="K7" s="100" t="e">
        <f>VLOOKUP('A-C &amp; Heat Pumps'!$E$4,References!$N$103:$Q$112,4,FALSE)</f>
        <v>#N/A</v>
      </c>
      <c r="M7" s="128" t="e">
        <f t="shared" si="2"/>
        <v>#N/A</v>
      </c>
      <c r="N7" s="115" t="e">
        <f>IF('A-C &amp; Heat Pumps'!$C10&gt;References!$F$12,B7/1000*J7*H7,0)</f>
        <v>#N/A</v>
      </c>
      <c r="O7" s="120" t="e">
        <f t="shared" si="3"/>
        <v>#DIV/0!</v>
      </c>
      <c r="Q7" s="121"/>
    </row>
    <row r="8" spans="1:17" ht="15" x14ac:dyDescent="0.25">
      <c r="A8">
        <v>6</v>
      </c>
      <c r="B8" s="128">
        <f>'A-C &amp; Heat Pumps'!G11*12000</f>
        <v>0</v>
      </c>
      <c r="C8" s="127">
        <f>'A-C &amp; Heat Pumps'!L11*'A-C &amp; Heat Pumps'!N11</f>
        <v>0</v>
      </c>
      <c r="D8" s="127">
        <f>'A-C &amp; Heat Pumps'!M11*'A-C &amp; Heat Pumps'!O11</f>
        <v>0</v>
      </c>
      <c r="E8" s="231" t="e">
        <f t="shared" si="0"/>
        <v>#DIV/0!</v>
      </c>
      <c r="F8" s="126" t="e">
        <f>B8/'HVAC Calcs'!C8</f>
        <v>#DIV/0!</v>
      </c>
      <c r="G8" s="126" t="e">
        <f>B8/'HVAC Calcs'!D8</f>
        <v>#DIV/0!</v>
      </c>
      <c r="H8" s="125" t="e">
        <f t="shared" si="1"/>
        <v>#DIV/0!</v>
      </c>
      <c r="I8" s="148" t="e">
        <f>VLOOKUP('A-C &amp; Heat Pumps'!$E$4,References!$N$103:$Q$115,2,FALSE)</f>
        <v>#N/A</v>
      </c>
      <c r="J8" s="148" t="e">
        <f>VLOOKUP('A-C &amp; Heat Pumps'!$E$4,References!$N$103:$Q$115,3,FALSE)</f>
        <v>#N/A</v>
      </c>
      <c r="K8" s="100" t="e">
        <f>VLOOKUP('A-C &amp; Heat Pumps'!$E$4,References!$N$103:$Q$112,4,FALSE)</f>
        <v>#N/A</v>
      </c>
      <c r="M8" s="128" t="e">
        <f t="shared" si="2"/>
        <v>#N/A</v>
      </c>
      <c r="N8" s="115" t="e">
        <f>IF('A-C &amp; Heat Pumps'!$C11&gt;References!$F$12,B8/1000*J8*H8,0)</f>
        <v>#N/A</v>
      </c>
      <c r="O8" s="120" t="e">
        <f t="shared" si="3"/>
        <v>#DIV/0!</v>
      </c>
      <c r="Q8" s="121"/>
    </row>
    <row r="9" spans="1:17" ht="15" x14ac:dyDescent="0.25">
      <c r="A9">
        <v>7</v>
      </c>
      <c r="B9" s="128">
        <f>'A-C &amp; Heat Pumps'!G12*12000</f>
        <v>0</v>
      </c>
      <c r="C9" s="127">
        <f>'A-C &amp; Heat Pumps'!L12*'A-C &amp; Heat Pumps'!N12</f>
        <v>0</v>
      </c>
      <c r="D9" s="127">
        <f>'A-C &amp; Heat Pumps'!M12*'A-C &amp; Heat Pumps'!O12</f>
        <v>0</v>
      </c>
      <c r="E9" s="231" t="e">
        <f t="shared" si="0"/>
        <v>#DIV/0!</v>
      </c>
      <c r="F9" s="126" t="e">
        <f>B9/'HVAC Calcs'!C9</f>
        <v>#DIV/0!</v>
      </c>
      <c r="G9" s="126" t="e">
        <f>B9/'HVAC Calcs'!D9</f>
        <v>#DIV/0!</v>
      </c>
      <c r="H9" s="125" t="e">
        <f t="shared" si="1"/>
        <v>#DIV/0!</v>
      </c>
      <c r="I9" s="148" t="e">
        <f>VLOOKUP('A-C &amp; Heat Pumps'!$E$4,References!$N$103:$Q$115,2,FALSE)</f>
        <v>#N/A</v>
      </c>
      <c r="J9" s="148" t="e">
        <f>VLOOKUP('A-C &amp; Heat Pumps'!$E$4,References!$N$103:$Q$115,3,FALSE)</f>
        <v>#N/A</v>
      </c>
      <c r="K9" s="100" t="e">
        <f>VLOOKUP('A-C &amp; Heat Pumps'!$E$4,References!$N$103:$Q$112,4,FALSE)</f>
        <v>#N/A</v>
      </c>
      <c r="M9" s="128" t="e">
        <f t="shared" si="2"/>
        <v>#N/A</v>
      </c>
      <c r="N9" s="115" t="e">
        <f>IF('A-C &amp; Heat Pumps'!$C12&gt;References!$F$12,B9/1000*J9*H9,0)</f>
        <v>#N/A</v>
      </c>
      <c r="O9" s="120" t="e">
        <f t="shared" si="3"/>
        <v>#DIV/0!</v>
      </c>
      <c r="Q9" s="121"/>
    </row>
    <row r="10" spans="1:17" ht="15" x14ac:dyDescent="0.25">
      <c r="A10">
        <v>8</v>
      </c>
      <c r="B10" s="128">
        <f>'A-C &amp; Heat Pumps'!G13*12000</f>
        <v>0</v>
      </c>
      <c r="C10" s="127">
        <f>'A-C &amp; Heat Pumps'!L13*'A-C &amp; Heat Pumps'!N13</f>
        <v>0</v>
      </c>
      <c r="D10" s="127">
        <f>'A-C &amp; Heat Pumps'!M13*'A-C &amp; Heat Pumps'!O13</f>
        <v>0</v>
      </c>
      <c r="E10" s="231" t="e">
        <f t="shared" si="0"/>
        <v>#DIV/0!</v>
      </c>
      <c r="F10" s="126" t="e">
        <f>B10/'HVAC Calcs'!C10</f>
        <v>#DIV/0!</v>
      </c>
      <c r="G10" s="126" t="e">
        <f>B10/'HVAC Calcs'!D10</f>
        <v>#DIV/0!</v>
      </c>
      <c r="H10" s="125" t="e">
        <f t="shared" si="1"/>
        <v>#DIV/0!</v>
      </c>
      <c r="I10" s="148" t="e">
        <f>VLOOKUP('A-C &amp; Heat Pumps'!$E$4,References!$N$103:$Q$115,2,FALSE)</f>
        <v>#N/A</v>
      </c>
      <c r="J10" s="148" t="e">
        <f>VLOOKUP('A-C &amp; Heat Pumps'!$E$4,References!$N$103:$Q$115,3,FALSE)</f>
        <v>#N/A</v>
      </c>
      <c r="K10" s="100" t="e">
        <f>VLOOKUP('A-C &amp; Heat Pumps'!$E$4,References!$N$103:$Q$112,4,FALSE)</f>
        <v>#N/A</v>
      </c>
      <c r="M10" s="128" t="e">
        <f t="shared" si="2"/>
        <v>#N/A</v>
      </c>
      <c r="N10" s="115" t="e">
        <f>IF('A-C &amp; Heat Pumps'!$C13&gt;References!$F$12,B10/1000*J10*H10,0)</f>
        <v>#N/A</v>
      </c>
      <c r="O10" s="120" t="e">
        <f t="shared" si="3"/>
        <v>#DIV/0!</v>
      </c>
      <c r="Q10" s="121"/>
    </row>
    <row r="11" spans="1:17" ht="15" x14ac:dyDescent="0.25">
      <c r="A11">
        <v>9</v>
      </c>
      <c r="B11" s="128">
        <f>'A-C &amp; Heat Pumps'!G14*12000</f>
        <v>0</v>
      </c>
      <c r="C11" s="127">
        <f>'A-C &amp; Heat Pumps'!L14*'A-C &amp; Heat Pumps'!N14</f>
        <v>0</v>
      </c>
      <c r="D11" s="127">
        <f>'A-C &amp; Heat Pumps'!M14*'A-C &amp; Heat Pumps'!O14</f>
        <v>0</v>
      </c>
      <c r="E11" s="231" t="e">
        <f t="shared" si="0"/>
        <v>#DIV/0!</v>
      </c>
      <c r="F11" s="126" t="e">
        <f>B11/'HVAC Calcs'!C11</f>
        <v>#DIV/0!</v>
      </c>
      <c r="G11" s="126" t="e">
        <f>B11/'HVAC Calcs'!D11</f>
        <v>#DIV/0!</v>
      </c>
      <c r="H11" s="125" t="e">
        <f t="shared" si="1"/>
        <v>#DIV/0!</v>
      </c>
      <c r="I11" s="148" t="e">
        <f>VLOOKUP('A-C &amp; Heat Pumps'!$E$4,References!$N$103:$Q$115,2,FALSE)</f>
        <v>#N/A</v>
      </c>
      <c r="J11" s="148" t="e">
        <f>VLOOKUP('A-C &amp; Heat Pumps'!$E$4,References!$N$103:$Q$115,3,FALSE)</f>
        <v>#N/A</v>
      </c>
      <c r="K11" s="100" t="e">
        <f>VLOOKUP('A-C &amp; Heat Pumps'!$E$4,References!$N$103:$Q$112,4,FALSE)</f>
        <v>#N/A</v>
      </c>
      <c r="M11" s="128" t="e">
        <f t="shared" si="2"/>
        <v>#N/A</v>
      </c>
      <c r="N11" s="115" t="e">
        <f>IF('A-C &amp; Heat Pumps'!$C14&gt;References!$F$12,B11/1000*J11*H11,0)</f>
        <v>#N/A</v>
      </c>
      <c r="O11" s="120" t="e">
        <f t="shared" si="3"/>
        <v>#DIV/0!</v>
      </c>
      <c r="Q11" s="121"/>
    </row>
    <row r="12" spans="1:17" ht="15" x14ac:dyDescent="0.25">
      <c r="A12">
        <v>10</v>
      </c>
      <c r="B12" s="128">
        <f>'A-C &amp; Heat Pumps'!G15*12000</f>
        <v>0</v>
      </c>
      <c r="C12" s="127">
        <f>'A-C &amp; Heat Pumps'!L15*'A-C &amp; Heat Pumps'!N15</f>
        <v>0</v>
      </c>
      <c r="D12" s="127">
        <f>'A-C &amp; Heat Pumps'!M15*'A-C &amp; Heat Pumps'!O15</f>
        <v>0</v>
      </c>
      <c r="E12" s="231" t="e">
        <f t="shared" si="0"/>
        <v>#DIV/0!</v>
      </c>
      <c r="F12" s="126" t="e">
        <f>B12/'HVAC Calcs'!C12</f>
        <v>#DIV/0!</v>
      </c>
      <c r="G12" s="126" t="e">
        <f>B12/'HVAC Calcs'!D12</f>
        <v>#DIV/0!</v>
      </c>
      <c r="H12" s="125" t="e">
        <f t="shared" si="1"/>
        <v>#DIV/0!</v>
      </c>
      <c r="I12" s="148" t="e">
        <f>VLOOKUP('A-C &amp; Heat Pumps'!$E$4,References!$N$103:$Q$115,2,FALSE)</f>
        <v>#N/A</v>
      </c>
      <c r="J12" s="148" t="e">
        <f>VLOOKUP('A-C &amp; Heat Pumps'!$E$4,References!$N$103:$Q$115,3,FALSE)</f>
        <v>#N/A</v>
      </c>
      <c r="K12" s="100" t="e">
        <f>VLOOKUP('A-C &amp; Heat Pumps'!$E$4,References!$N$103:$Q$112,4,FALSE)</f>
        <v>#N/A</v>
      </c>
      <c r="M12" s="128" t="e">
        <f t="shared" si="2"/>
        <v>#N/A</v>
      </c>
      <c r="N12" s="115" t="e">
        <f>IF('A-C &amp; Heat Pumps'!$C15&gt;References!$F$12,B12/1000*J12*H12,0)</f>
        <v>#N/A</v>
      </c>
      <c r="O12" s="120" t="e">
        <f t="shared" si="3"/>
        <v>#DIV/0!</v>
      </c>
      <c r="Q12" s="121"/>
    </row>
    <row r="13" spans="1:17" ht="15" x14ac:dyDescent="0.25">
      <c r="A13">
        <v>11</v>
      </c>
      <c r="B13" s="128">
        <f>'A-C &amp; Heat Pumps'!G16*12000</f>
        <v>0</v>
      </c>
      <c r="C13" s="127">
        <f>'A-C &amp; Heat Pumps'!L16*'A-C &amp; Heat Pumps'!N16</f>
        <v>0</v>
      </c>
      <c r="D13" s="127">
        <f>'A-C &amp; Heat Pumps'!M16*'A-C &amp; Heat Pumps'!O16</f>
        <v>0</v>
      </c>
      <c r="E13" s="231" t="e">
        <f t="shared" si="0"/>
        <v>#DIV/0!</v>
      </c>
      <c r="F13" s="126" t="e">
        <f>B13/'HVAC Calcs'!C13</f>
        <v>#DIV/0!</v>
      </c>
      <c r="G13" s="126" t="e">
        <f>B13/'HVAC Calcs'!D13</f>
        <v>#DIV/0!</v>
      </c>
      <c r="H13" s="125" t="e">
        <f t="shared" si="1"/>
        <v>#DIV/0!</v>
      </c>
      <c r="I13" s="148" t="e">
        <f>VLOOKUP('A-C &amp; Heat Pumps'!$E$4,References!$N$103:$Q$115,2,FALSE)</f>
        <v>#N/A</v>
      </c>
      <c r="J13" s="148" t="e">
        <f>VLOOKUP('A-C &amp; Heat Pumps'!$E$4,References!$N$103:$Q$115,3,FALSE)</f>
        <v>#N/A</v>
      </c>
      <c r="K13" s="100" t="e">
        <f>VLOOKUP('A-C &amp; Heat Pumps'!$E$4,References!$N$103:$Q$112,4,FALSE)</f>
        <v>#N/A</v>
      </c>
      <c r="M13" s="128" t="e">
        <f t="shared" si="2"/>
        <v>#N/A</v>
      </c>
      <c r="N13" s="115" t="e">
        <f>IF('A-C &amp; Heat Pumps'!$C16&gt;References!$F$12,B13/1000*J13*H13,0)</f>
        <v>#N/A</v>
      </c>
      <c r="O13" s="120" t="e">
        <f t="shared" si="3"/>
        <v>#DIV/0!</v>
      </c>
      <c r="Q13" s="121"/>
    </row>
    <row r="14" spans="1:17" ht="15" x14ac:dyDescent="0.25">
      <c r="A14">
        <v>12</v>
      </c>
      <c r="B14" s="128">
        <f>'A-C &amp; Heat Pumps'!G17*12000</f>
        <v>0</v>
      </c>
      <c r="C14" s="127">
        <f>'A-C &amp; Heat Pumps'!L17*'A-C &amp; Heat Pumps'!N17</f>
        <v>0</v>
      </c>
      <c r="D14" s="127">
        <f>'A-C &amp; Heat Pumps'!M17*'A-C &amp; Heat Pumps'!O17</f>
        <v>0</v>
      </c>
      <c r="E14" s="231" t="e">
        <f t="shared" si="0"/>
        <v>#DIV/0!</v>
      </c>
      <c r="F14" s="126" t="e">
        <f>B14/'HVAC Calcs'!C14</f>
        <v>#DIV/0!</v>
      </c>
      <c r="G14" s="126" t="e">
        <f>B14/'HVAC Calcs'!D14</f>
        <v>#DIV/0!</v>
      </c>
      <c r="H14" s="125" t="e">
        <f t="shared" si="1"/>
        <v>#DIV/0!</v>
      </c>
      <c r="I14" s="148" t="e">
        <f>VLOOKUP('A-C &amp; Heat Pumps'!$E$4,References!$N$103:$Q$115,2,FALSE)</f>
        <v>#N/A</v>
      </c>
      <c r="J14" s="148" t="e">
        <f>VLOOKUP('A-C &amp; Heat Pumps'!$E$4,References!$N$103:$Q$115,3,FALSE)</f>
        <v>#N/A</v>
      </c>
      <c r="K14" s="100" t="e">
        <f>VLOOKUP('A-C &amp; Heat Pumps'!$E$4,References!$N$103:$Q$112,4,FALSE)</f>
        <v>#N/A</v>
      </c>
      <c r="M14" s="128" t="e">
        <f t="shared" si="2"/>
        <v>#N/A</v>
      </c>
      <c r="N14" s="115" t="e">
        <f>IF('A-C &amp; Heat Pumps'!$C17&gt;References!$F$12,B14/1000*J14*H14,0)</f>
        <v>#N/A</v>
      </c>
      <c r="O14" s="120" t="e">
        <f t="shared" si="3"/>
        <v>#DIV/0!</v>
      </c>
      <c r="Q14" s="121"/>
    </row>
    <row r="15" spans="1:17" ht="15" x14ac:dyDescent="0.25">
      <c r="A15">
        <v>13</v>
      </c>
      <c r="B15" s="128">
        <f>'A-C &amp; Heat Pumps'!G18*12000</f>
        <v>0</v>
      </c>
      <c r="C15" s="127">
        <f>'A-C &amp; Heat Pumps'!L18*'A-C &amp; Heat Pumps'!N18</f>
        <v>0</v>
      </c>
      <c r="D15" s="127">
        <f>'A-C &amp; Heat Pumps'!M18*'A-C &amp; Heat Pumps'!O18</f>
        <v>0</v>
      </c>
      <c r="E15" s="231" t="e">
        <f t="shared" si="0"/>
        <v>#DIV/0!</v>
      </c>
      <c r="F15" s="126" t="e">
        <f>B15/'HVAC Calcs'!C15</f>
        <v>#DIV/0!</v>
      </c>
      <c r="G15" s="126" t="e">
        <f>B15/'HVAC Calcs'!D15</f>
        <v>#DIV/0!</v>
      </c>
      <c r="H15" s="125" t="e">
        <f t="shared" si="1"/>
        <v>#DIV/0!</v>
      </c>
      <c r="I15" s="148" t="e">
        <f>VLOOKUP('A-C &amp; Heat Pumps'!$E$4,References!$N$103:$Q$115,2,FALSE)</f>
        <v>#N/A</v>
      </c>
      <c r="J15" s="148" t="e">
        <f>VLOOKUP('A-C &amp; Heat Pumps'!$E$4,References!$N$103:$Q$115,3,FALSE)</f>
        <v>#N/A</v>
      </c>
      <c r="K15" s="100" t="e">
        <f>VLOOKUP('A-C &amp; Heat Pumps'!$E$4,References!$N$103:$Q$112,4,FALSE)</f>
        <v>#N/A</v>
      </c>
      <c r="M15" s="128" t="e">
        <f t="shared" si="2"/>
        <v>#N/A</v>
      </c>
      <c r="N15" s="115" t="e">
        <f>IF('A-C &amp; Heat Pumps'!$C18&gt;References!$F$12,B15/1000*J15*H15,0)</f>
        <v>#N/A</v>
      </c>
      <c r="O15" s="120" t="e">
        <f t="shared" si="3"/>
        <v>#DIV/0!</v>
      </c>
      <c r="Q15" s="121"/>
    </row>
    <row r="16" spans="1:17" ht="15" x14ac:dyDescent="0.25">
      <c r="A16">
        <v>14</v>
      </c>
      <c r="B16" s="128">
        <f>'A-C &amp; Heat Pumps'!G19*12000</f>
        <v>0</v>
      </c>
      <c r="C16" s="127">
        <f>'A-C &amp; Heat Pumps'!L19*'A-C &amp; Heat Pumps'!N19</f>
        <v>0</v>
      </c>
      <c r="D16" s="127">
        <f>'A-C &amp; Heat Pumps'!M19*'A-C &amp; Heat Pumps'!O19</f>
        <v>0</v>
      </c>
      <c r="E16" s="231" t="e">
        <f t="shared" si="0"/>
        <v>#DIV/0!</v>
      </c>
      <c r="F16" s="126" t="e">
        <f>B16/'HVAC Calcs'!C16</f>
        <v>#DIV/0!</v>
      </c>
      <c r="G16" s="126" t="e">
        <f>B16/'HVAC Calcs'!D16</f>
        <v>#DIV/0!</v>
      </c>
      <c r="H16" s="125" t="e">
        <f t="shared" si="1"/>
        <v>#DIV/0!</v>
      </c>
      <c r="I16" s="148" t="e">
        <f>VLOOKUP('A-C &amp; Heat Pumps'!$E$4,References!$N$103:$Q$115,2,FALSE)</f>
        <v>#N/A</v>
      </c>
      <c r="J16" s="148" t="e">
        <f>VLOOKUP('A-C &amp; Heat Pumps'!$E$4,References!$N$103:$Q$115,3,FALSE)</f>
        <v>#N/A</v>
      </c>
      <c r="K16" s="100" t="e">
        <f>VLOOKUP('A-C &amp; Heat Pumps'!$E$4,References!$N$103:$Q$112,4,FALSE)</f>
        <v>#N/A</v>
      </c>
      <c r="M16" s="128" t="e">
        <f t="shared" si="2"/>
        <v>#N/A</v>
      </c>
      <c r="N16" s="115" t="e">
        <f>IF('A-C &amp; Heat Pumps'!$C19&gt;References!$F$12,B16/1000*J16*H16,0)</f>
        <v>#N/A</v>
      </c>
      <c r="O16" s="120" t="e">
        <f t="shared" si="3"/>
        <v>#DIV/0!</v>
      </c>
      <c r="Q16" s="121"/>
    </row>
    <row r="17" spans="1:17" ht="15" x14ac:dyDescent="0.25">
      <c r="A17">
        <v>15</v>
      </c>
      <c r="B17" s="128">
        <f>'A-C &amp; Heat Pumps'!G20*12000</f>
        <v>0</v>
      </c>
      <c r="C17" s="127">
        <f>'A-C &amp; Heat Pumps'!L20*'A-C &amp; Heat Pumps'!N20</f>
        <v>0</v>
      </c>
      <c r="D17" s="127">
        <f>'A-C &amp; Heat Pumps'!M20*'A-C &amp; Heat Pumps'!O20</f>
        <v>0</v>
      </c>
      <c r="E17" s="231" t="e">
        <f t="shared" si="0"/>
        <v>#DIV/0!</v>
      </c>
      <c r="F17" s="126" t="e">
        <f>B17/'HVAC Calcs'!C17</f>
        <v>#DIV/0!</v>
      </c>
      <c r="G17" s="126" t="e">
        <f>B17/'HVAC Calcs'!D17</f>
        <v>#DIV/0!</v>
      </c>
      <c r="H17" s="125" t="e">
        <f t="shared" si="1"/>
        <v>#DIV/0!</v>
      </c>
      <c r="I17" s="148" t="e">
        <f>VLOOKUP('A-C &amp; Heat Pumps'!$E$4,References!$N$103:$Q$115,2,FALSE)</f>
        <v>#N/A</v>
      </c>
      <c r="J17" s="148" t="e">
        <f>VLOOKUP('A-C &amp; Heat Pumps'!$E$4,References!$N$103:$Q$115,3,FALSE)</f>
        <v>#N/A</v>
      </c>
      <c r="K17" s="100" t="e">
        <f>VLOOKUP('A-C &amp; Heat Pumps'!$E$4,References!$N$103:$Q$112,4,FALSE)</f>
        <v>#N/A</v>
      </c>
      <c r="M17" s="128" t="e">
        <f t="shared" si="2"/>
        <v>#N/A</v>
      </c>
      <c r="N17" s="115" t="e">
        <f>IF('A-C &amp; Heat Pumps'!$C20&gt;References!$F$12,B17/1000*J17*H17,0)</f>
        <v>#N/A</v>
      </c>
      <c r="O17" s="120" t="e">
        <f t="shared" si="3"/>
        <v>#DIV/0!</v>
      </c>
      <c r="Q17" s="121"/>
    </row>
    <row r="18" spans="1:17" ht="15" x14ac:dyDescent="0.25">
      <c r="A18">
        <v>16</v>
      </c>
      <c r="B18" s="128">
        <f>'A-C &amp; Heat Pumps'!G21*12000</f>
        <v>0</v>
      </c>
      <c r="C18" s="127">
        <f>'A-C &amp; Heat Pumps'!L21*'A-C &amp; Heat Pumps'!N21</f>
        <v>0</v>
      </c>
      <c r="D18" s="127">
        <f>'A-C &amp; Heat Pumps'!M21*'A-C &amp; Heat Pumps'!O21</f>
        <v>0</v>
      </c>
      <c r="E18" s="231" t="e">
        <f t="shared" si="0"/>
        <v>#DIV/0!</v>
      </c>
      <c r="F18" s="126" t="e">
        <f>B18/'HVAC Calcs'!C18</f>
        <v>#DIV/0!</v>
      </c>
      <c r="G18" s="126" t="e">
        <f>B18/'HVAC Calcs'!D18</f>
        <v>#DIV/0!</v>
      </c>
      <c r="H18" s="125" t="e">
        <f t="shared" si="1"/>
        <v>#DIV/0!</v>
      </c>
      <c r="I18" s="148" t="e">
        <f>VLOOKUP('A-C &amp; Heat Pumps'!$E$4,References!$N$103:$Q$115,2,FALSE)</f>
        <v>#N/A</v>
      </c>
      <c r="J18" s="148" t="e">
        <f>VLOOKUP('A-C &amp; Heat Pumps'!$E$4,References!$N$103:$Q$115,3,FALSE)</f>
        <v>#N/A</v>
      </c>
      <c r="K18" s="100" t="e">
        <f>VLOOKUP('A-C &amp; Heat Pumps'!$E$4,References!$N$103:$Q$112,4,FALSE)</f>
        <v>#N/A</v>
      </c>
      <c r="M18" s="128" t="e">
        <f t="shared" si="2"/>
        <v>#N/A</v>
      </c>
      <c r="N18" s="115" t="e">
        <f>IF('A-C &amp; Heat Pumps'!$C21&gt;References!$F$12,B18/1000*J18*H18,0)</f>
        <v>#N/A</v>
      </c>
      <c r="O18" s="120" t="e">
        <f t="shared" si="3"/>
        <v>#DIV/0!</v>
      </c>
      <c r="Q18" s="121"/>
    </row>
    <row r="19" spans="1:17" ht="15" x14ac:dyDescent="0.25">
      <c r="A19">
        <v>17</v>
      </c>
      <c r="B19" s="128">
        <f>'A-C &amp; Heat Pumps'!G22*12000</f>
        <v>0</v>
      </c>
      <c r="C19" s="127">
        <f>'A-C &amp; Heat Pumps'!L22*'A-C &amp; Heat Pumps'!N22</f>
        <v>0</v>
      </c>
      <c r="D19" s="127">
        <f>'A-C &amp; Heat Pumps'!M22*'A-C &amp; Heat Pumps'!O22</f>
        <v>0</v>
      </c>
      <c r="E19" s="231" t="e">
        <f t="shared" si="0"/>
        <v>#DIV/0!</v>
      </c>
      <c r="F19" s="126" t="e">
        <f>B19/'HVAC Calcs'!C19</f>
        <v>#DIV/0!</v>
      </c>
      <c r="G19" s="126" t="e">
        <f>B19/'HVAC Calcs'!D19</f>
        <v>#DIV/0!</v>
      </c>
      <c r="H19" s="125" t="e">
        <f t="shared" si="1"/>
        <v>#DIV/0!</v>
      </c>
      <c r="I19" s="148" t="e">
        <f>VLOOKUP('A-C &amp; Heat Pumps'!$E$4,References!$N$103:$Q$115,2,FALSE)</f>
        <v>#N/A</v>
      </c>
      <c r="J19" s="148" t="e">
        <f>VLOOKUP('A-C &amp; Heat Pumps'!$E$4,References!$N$103:$Q$115,3,FALSE)</f>
        <v>#N/A</v>
      </c>
      <c r="K19" s="100" t="e">
        <f>VLOOKUP('A-C &amp; Heat Pumps'!$E$4,References!$N$103:$Q$112,4,FALSE)</f>
        <v>#N/A</v>
      </c>
      <c r="M19" s="128" t="e">
        <f t="shared" si="2"/>
        <v>#N/A</v>
      </c>
      <c r="N19" s="115" t="e">
        <f>IF('A-C &amp; Heat Pumps'!$C22&gt;References!$F$12,B19/1000*J19*H19,0)</f>
        <v>#N/A</v>
      </c>
      <c r="O19" s="120" t="e">
        <f t="shared" si="3"/>
        <v>#DIV/0!</v>
      </c>
      <c r="Q19" s="121"/>
    </row>
    <row r="20" spans="1:17" ht="15" x14ac:dyDescent="0.25">
      <c r="A20">
        <v>18</v>
      </c>
      <c r="B20" s="128">
        <f>'A-C &amp; Heat Pumps'!G23*12000</f>
        <v>0</v>
      </c>
      <c r="C20" s="127">
        <f>'A-C &amp; Heat Pumps'!L23*'A-C &amp; Heat Pumps'!N23</f>
        <v>0</v>
      </c>
      <c r="D20" s="127">
        <f>'A-C &amp; Heat Pumps'!M23*'A-C &amp; Heat Pumps'!O23</f>
        <v>0</v>
      </c>
      <c r="E20" s="231" t="e">
        <f t="shared" si="0"/>
        <v>#DIV/0!</v>
      </c>
      <c r="F20" s="126" t="e">
        <f>B20/'HVAC Calcs'!C20</f>
        <v>#DIV/0!</v>
      </c>
      <c r="G20" s="126" t="e">
        <f>B20/'HVAC Calcs'!D20</f>
        <v>#DIV/0!</v>
      </c>
      <c r="H20" s="125" t="e">
        <f t="shared" si="1"/>
        <v>#DIV/0!</v>
      </c>
      <c r="I20" s="148" t="e">
        <f>VLOOKUP('A-C &amp; Heat Pumps'!$E$4,References!$N$103:$Q$115,2,FALSE)</f>
        <v>#N/A</v>
      </c>
      <c r="J20" s="148" t="e">
        <f>VLOOKUP('A-C &amp; Heat Pumps'!$E$4,References!$N$103:$Q$115,3,FALSE)</f>
        <v>#N/A</v>
      </c>
      <c r="K20" s="100" t="e">
        <f>VLOOKUP('A-C &amp; Heat Pumps'!$E$4,References!$N$103:$Q$112,4,FALSE)</f>
        <v>#N/A</v>
      </c>
      <c r="M20" s="128" t="e">
        <f t="shared" si="2"/>
        <v>#N/A</v>
      </c>
      <c r="N20" s="115" t="e">
        <f>IF('A-C &amp; Heat Pumps'!$C23&gt;References!$F$12,B20/1000*J20*H20,0)</f>
        <v>#N/A</v>
      </c>
      <c r="O20" s="120" t="e">
        <f t="shared" si="3"/>
        <v>#DIV/0!</v>
      </c>
      <c r="Q20" s="121"/>
    </row>
    <row r="21" spans="1:17" ht="15" x14ac:dyDescent="0.25">
      <c r="A21">
        <v>19</v>
      </c>
      <c r="B21" s="128">
        <f>'A-C &amp; Heat Pumps'!G24*12000</f>
        <v>0</v>
      </c>
      <c r="C21" s="127">
        <f>'A-C &amp; Heat Pumps'!L24*'A-C &amp; Heat Pumps'!N24</f>
        <v>0</v>
      </c>
      <c r="D21" s="127">
        <f>'A-C &amp; Heat Pumps'!M24*'A-C &amp; Heat Pumps'!O24</f>
        <v>0</v>
      </c>
      <c r="E21" s="231" t="e">
        <f t="shared" si="0"/>
        <v>#DIV/0!</v>
      </c>
      <c r="F21" s="126" t="e">
        <f>B21/'HVAC Calcs'!C21</f>
        <v>#DIV/0!</v>
      </c>
      <c r="G21" s="126" t="e">
        <f>B21/'HVAC Calcs'!D21</f>
        <v>#DIV/0!</v>
      </c>
      <c r="H21" s="125" t="e">
        <f t="shared" si="1"/>
        <v>#DIV/0!</v>
      </c>
      <c r="I21" s="148" t="e">
        <f>VLOOKUP('A-C &amp; Heat Pumps'!$E$4,References!$N$103:$Q$115,2,FALSE)</f>
        <v>#N/A</v>
      </c>
      <c r="J21" s="148" t="e">
        <f>VLOOKUP('A-C &amp; Heat Pumps'!$E$4,References!$N$103:$Q$115,3,FALSE)</f>
        <v>#N/A</v>
      </c>
      <c r="K21" s="100" t="e">
        <f>VLOOKUP('A-C &amp; Heat Pumps'!$E$4,References!$N$103:$Q$112,4,FALSE)</f>
        <v>#N/A</v>
      </c>
      <c r="M21" s="128" t="e">
        <f t="shared" si="2"/>
        <v>#N/A</v>
      </c>
      <c r="N21" s="115" t="e">
        <f>IF('A-C &amp; Heat Pumps'!$C24&gt;References!$F$12,B21/1000*J21*H21,0)</f>
        <v>#N/A</v>
      </c>
      <c r="O21" s="120" t="e">
        <f t="shared" si="3"/>
        <v>#DIV/0!</v>
      </c>
      <c r="Q21" s="121"/>
    </row>
    <row r="22" spans="1:17" ht="15" x14ac:dyDescent="0.25">
      <c r="A22">
        <v>20</v>
      </c>
      <c r="B22" s="128">
        <f>'A-C &amp; Heat Pumps'!G25*12000</f>
        <v>0</v>
      </c>
      <c r="C22" s="127">
        <f>'A-C &amp; Heat Pumps'!L25*'A-C &amp; Heat Pumps'!N25</f>
        <v>0</v>
      </c>
      <c r="D22" s="127">
        <f>'A-C &amp; Heat Pumps'!M25*'A-C &amp; Heat Pumps'!O25</f>
        <v>0</v>
      </c>
      <c r="E22" s="231" t="e">
        <f t="shared" si="0"/>
        <v>#DIV/0!</v>
      </c>
      <c r="F22" s="126" t="e">
        <f>B22/'HVAC Calcs'!C22</f>
        <v>#DIV/0!</v>
      </c>
      <c r="G22" s="126" t="e">
        <f>B22/'HVAC Calcs'!D22</f>
        <v>#DIV/0!</v>
      </c>
      <c r="H22" s="125" t="e">
        <f t="shared" si="1"/>
        <v>#DIV/0!</v>
      </c>
      <c r="I22" s="148" t="e">
        <f>VLOOKUP('A-C &amp; Heat Pumps'!$E$4,References!$N$103:$Q$115,2,FALSE)</f>
        <v>#N/A</v>
      </c>
      <c r="J22" s="148" t="e">
        <f>VLOOKUP('A-C &amp; Heat Pumps'!$E$4,References!$N$103:$Q$115,3,FALSE)</f>
        <v>#N/A</v>
      </c>
      <c r="K22" s="100" t="e">
        <f>VLOOKUP('A-C &amp; Heat Pumps'!$E$4,References!$N$103:$Q$112,4,FALSE)</f>
        <v>#N/A</v>
      </c>
      <c r="M22" s="128" t="e">
        <f t="shared" si="2"/>
        <v>#N/A</v>
      </c>
      <c r="N22" s="115" t="e">
        <f>IF('A-C &amp; Heat Pumps'!$C25&gt;References!$F$12,B22/1000*J22*H22,0)</f>
        <v>#N/A</v>
      </c>
      <c r="O22" s="120" t="e">
        <f t="shared" si="3"/>
        <v>#DIV/0!</v>
      </c>
      <c r="Q22" s="121"/>
    </row>
    <row r="23" spans="1:17" ht="15" x14ac:dyDescent="0.25">
      <c r="A23">
        <v>21</v>
      </c>
      <c r="B23" s="128">
        <f>'A-C &amp; Heat Pumps'!G26*12000</f>
        <v>0</v>
      </c>
      <c r="C23" s="127">
        <f>'A-C &amp; Heat Pumps'!L26*'A-C &amp; Heat Pumps'!N26</f>
        <v>0</v>
      </c>
      <c r="D23" s="127">
        <f>'A-C &amp; Heat Pumps'!M26*'A-C &amp; Heat Pumps'!O26</f>
        <v>0</v>
      </c>
      <c r="E23" s="231" t="e">
        <f t="shared" si="0"/>
        <v>#DIV/0!</v>
      </c>
      <c r="F23" s="126" t="e">
        <f>B23/'HVAC Calcs'!C23</f>
        <v>#DIV/0!</v>
      </c>
      <c r="G23" s="126" t="e">
        <f>B23/'HVAC Calcs'!D23</f>
        <v>#DIV/0!</v>
      </c>
      <c r="H23" s="125" t="e">
        <f t="shared" si="1"/>
        <v>#DIV/0!</v>
      </c>
      <c r="I23" s="148" t="e">
        <f>VLOOKUP('A-C &amp; Heat Pumps'!$E$4,References!$N$103:$Q$115,2,FALSE)</f>
        <v>#N/A</v>
      </c>
      <c r="J23" s="148" t="e">
        <f>VLOOKUP('A-C &amp; Heat Pumps'!$E$4,References!$N$103:$Q$115,3,FALSE)</f>
        <v>#N/A</v>
      </c>
      <c r="K23" s="100" t="e">
        <f>VLOOKUP('A-C &amp; Heat Pumps'!$E$4,References!$N$103:$Q$112,4,FALSE)</f>
        <v>#N/A</v>
      </c>
      <c r="M23" s="128" t="e">
        <f t="shared" si="2"/>
        <v>#N/A</v>
      </c>
      <c r="N23" s="115" t="e">
        <f>IF('A-C &amp; Heat Pumps'!$C26&gt;References!$F$12,B23/1000*J23*H23,0)</f>
        <v>#N/A</v>
      </c>
      <c r="O23" s="120" t="e">
        <f t="shared" si="3"/>
        <v>#DIV/0!</v>
      </c>
      <c r="Q23" s="121"/>
    </row>
    <row r="24" spans="1:17" ht="15" x14ac:dyDescent="0.25">
      <c r="A24">
        <v>22</v>
      </c>
      <c r="B24" s="128">
        <f>'A-C &amp; Heat Pumps'!G27*12000</f>
        <v>0</v>
      </c>
      <c r="C24" s="127">
        <f>'A-C &amp; Heat Pumps'!L27*'A-C &amp; Heat Pumps'!N27</f>
        <v>0</v>
      </c>
      <c r="D24" s="127">
        <f>'A-C &amp; Heat Pumps'!M27*'A-C &amp; Heat Pumps'!O27</f>
        <v>0</v>
      </c>
      <c r="E24" s="231" t="e">
        <f t="shared" si="0"/>
        <v>#DIV/0!</v>
      </c>
      <c r="F24" s="126" t="e">
        <f>B24/'HVAC Calcs'!C24</f>
        <v>#DIV/0!</v>
      </c>
      <c r="G24" s="126" t="e">
        <f>B24/'HVAC Calcs'!D24</f>
        <v>#DIV/0!</v>
      </c>
      <c r="H24" s="125" t="e">
        <f t="shared" si="1"/>
        <v>#DIV/0!</v>
      </c>
      <c r="I24" s="148" t="e">
        <f>VLOOKUP('A-C &amp; Heat Pumps'!$E$4,References!$N$103:$Q$115,2,FALSE)</f>
        <v>#N/A</v>
      </c>
      <c r="J24" s="148" t="e">
        <f>VLOOKUP('A-C &amp; Heat Pumps'!$E$4,References!$N$103:$Q$115,3,FALSE)</f>
        <v>#N/A</v>
      </c>
      <c r="K24" s="100" t="e">
        <f>VLOOKUP('A-C &amp; Heat Pumps'!$E$4,References!$N$103:$Q$112,4,FALSE)</f>
        <v>#N/A</v>
      </c>
      <c r="M24" s="128" t="e">
        <f t="shared" si="2"/>
        <v>#N/A</v>
      </c>
      <c r="N24" s="115" t="e">
        <f>IF('A-C &amp; Heat Pumps'!$C27&gt;References!$F$12,B24/1000*J24*H24,0)</f>
        <v>#N/A</v>
      </c>
      <c r="O24" s="120" t="e">
        <f t="shared" si="3"/>
        <v>#DIV/0!</v>
      </c>
      <c r="Q24" s="121"/>
    </row>
    <row r="25" spans="1:17" ht="15" x14ac:dyDescent="0.25">
      <c r="A25">
        <v>23</v>
      </c>
      <c r="B25" s="128">
        <f>'A-C &amp; Heat Pumps'!G28*12000</f>
        <v>0</v>
      </c>
      <c r="C25" s="127">
        <f>'A-C &amp; Heat Pumps'!L28*'A-C &amp; Heat Pumps'!N28</f>
        <v>0</v>
      </c>
      <c r="D25" s="127">
        <f>'A-C &amp; Heat Pumps'!M28*'A-C &amp; Heat Pumps'!O28</f>
        <v>0</v>
      </c>
      <c r="E25" s="231" t="e">
        <f t="shared" si="0"/>
        <v>#DIV/0!</v>
      </c>
      <c r="F25" s="126" t="e">
        <f>B25/'HVAC Calcs'!C25</f>
        <v>#DIV/0!</v>
      </c>
      <c r="G25" s="126" t="e">
        <f>B25/'HVAC Calcs'!D25</f>
        <v>#DIV/0!</v>
      </c>
      <c r="H25" s="125" t="e">
        <f t="shared" si="1"/>
        <v>#DIV/0!</v>
      </c>
      <c r="I25" s="148" t="e">
        <f>VLOOKUP('A-C &amp; Heat Pumps'!$E$4,References!$N$103:$Q$115,2,FALSE)</f>
        <v>#N/A</v>
      </c>
      <c r="J25" s="148" t="e">
        <f>VLOOKUP('A-C &amp; Heat Pumps'!$E$4,References!$N$103:$Q$115,3,FALSE)</f>
        <v>#N/A</v>
      </c>
      <c r="K25" s="100" t="e">
        <f>VLOOKUP('A-C &amp; Heat Pumps'!$E$4,References!$N$103:$Q$112,4,FALSE)</f>
        <v>#N/A</v>
      </c>
      <c r="M25" s="128" t="e">
        <f t="shared" si="2"/>
        <v>#N/A</v>
      </c>
      <c r="N25" s="115" t="e">
        <f>IF('A-C &amp; Heat Pumps'!$C28&gt;References!$F$12,B25/1000*J25*H25,0)</f>
        <v>#N/A</v>
      </c>
      <c r="O25" s="120" t="e">
        <f t="shared" si="3"/>
        <v>#DIV/0!</v>
      </c>
      <c r="Q25" s="121"/>
    </row>
    <row r="26" spans="1:17" ht="15" x14ac:dyDescent="0.25">
      <c r="A26">
        <v>24</v>
      </c>
      <c r="B26" s="128">
        <f>'A-C &amp; Heat Pumps'!G29*12000</f>
        <v>0</v>
      </c>
      <c r="C26" s="127">
        <f>'A-C &amp; Heat Pumps'!L29*'A-C &amp; Heat Pumps'!N29</f>
        <v>0</v>
      </c>
      <c r="D26" s="127">
        <f>'A-C &amp; Heat Pumps'!M29*'A-C &amp; Heat Pumps'!O29</f>
        <v>0</v>
      </c>
      <c r="E26" s="231" t="e">
        <f t="shared" si="0"/>
        <v>#DIV/0!</v>
      </c>
      <c r="F26" s="126" t="e">
        <f>B26/'HVAC Calcs'!C26</f>
        <v>#DIV/0!</v>
      </c>
      <c r="G26" s="126" t="e">
        <f>B26/'HVAC Calcs'!D26</f>
        <v>#DIV/0!</v>
      </c>
      <c r="H26" s="125" t="e">
        <f t="shared" si="1"/>
        <v>#DIV/0!</v>
      </c>
      <c r="I26" s="148" t="e">
        <f>VLOOKUP('A-C &amp; Heat Pumps'!$E$4,References!$N$103:$Q$115,2,FALSE)</f>
        <v>#N/A</v>
      </c>
      <c r="J26" s="148" t="e">
        <f>VLOOKUP('A-C &amp; Heat Pumps'!$E$4,References!$N$103:$Q$115,3,FALSE)</f>
        <v>#N/A</v>
      </c>
      <c r="K26" s="100" t="e">
        <f>VLOOKUP('A-C &amp; Heat Pumps'!$E$4,References!$N$103:$Q$112,4,FALSE)</f>
        <v>#N/A</v>
      </c>
      <c r="M26" s="128" t="e">
        <f t="shared" si="2"/>
        <v>#N/A</v>
      </c>
      <c r="N26" s="115" t="e">
        <f>IF('A-C &amp; Heat Pumps'!$C29&gt;References!$F$12,B26/1000*J26*H26,0)</f>
        <v>#N/A</v>
      </c>
      <c r="O26" s="120" t="e">
        <f t="shared" si="3"/>
        <v>#DIV/0!</v>
      </c>
      <c r="Q26" s="121"/>
    </row>
    <row r="27" spans="1:17" ht="15" x14ac:dyDescent="0.25">
      <c r="A27">
        <v>25</v>
      </c>
      <c r="B27" s="128">
        <f>'A-C &amp; Heat Pumps'!G30*12000</f>
        <v>0</v>
      </c>
      <c r="C27" s="127">
        <f>'A-C &amp; Heat Pumps'!L30*'A-C &amp; Heat Pumps'!N30</f>
        <v>0</v>
      </c>
      <c r="D27" s="127">
        <f>'A-C &amp; Heat Pumps'!M30*'A-C &amp; Heat Pumps'!O30</f>
        <v>0</v>
      </c>
      <c r="E27" s="231" t="e">
        <f t="shared" si="0"/>
        <v>#DIV/0!</v>
      </c>
      <c r="F27" s="126" t="e">
        <f>B27/'HVAC Calcs'!C27</f>
        <v>#DIV/0!</v>
      </c>
      <c r="G27" s="126" t="e">
        <f>B27/'HVAC Calcs'!D27</f>
        <v>#DIV/0!</v>
      </c>
      <c r="H27" s="125" t="e">
        <f t="shared" si="1"/>
        <v>#DIV/0!</v>
      </c>
      <c r="I27" s="148" t="e">
        <f>VLOOKUP('A-C &amp; Heat Pumps'!$E$4,References!$N$103:$Q$115,2,FALSE)</f>
        <v>#N/A</v>
      </c>
      <c r="J27" s="148" t="e">
        <f>VLOOKUP('A-C &amp; Heat Pumps'!$E$4,References!$N$103:$Q$115,3,FALSE)</f>
        <v>#N/A</v>
      </c>
      <c r="K27" s="100" t="e">
        <f>VLOOKUP('A-C &amp; Heat Pumps'!$E$4,References!$N$103:$Q$112,4,FALSE)</f>
        <v>#N/A</v>
      </c>
      <c r="M27" s="128" t="e">
        <f t="shared" si="2"/>
        <v>#N/A</v>
      </c>
      <c r="N27" s="115" t="e">
        <f>IF('A-C &amp; Heat Pumps'!$C30&gt;References!$F$12,B27/1000*J27*H27,0)</f>
        <v>#N/A</v>
      </c>
      <c r="O27" s="120" t="e">
        <f t="shared" si="3"/>
        <v>#DIV/0!</v>
      </c>
      <c r="Q27" s="121"/>
    </row>
    <row r="28" spans="1:17" ht="15" x14ac:dyDescent="0.25">
      <c r="A28">
        <v>26</v>
      </c>
      <c r="B28" s="128">
        <f>'A-C &amp; Heat Pumps'!G31*12000</f>
        <v>0</v>
      </c>
      <c r="C28" s="127">
        <f>'A-C &amp; Heat Pumps'!L31*'A-C &amp; Heat Pumps'!N31</f>
        <v>0</v>
      </c>
      <c r="D28" s="127">
        <f>'A-C &amp; Heat Pumps'!M31*'A-C &amp; Heat Pumps'!O31</f>
        <v>0</v>
      </c>
      <c r="E28" s="231" t="e">
        <f t="shared" si="0"/>
        <v>#DIV/0!</v>
      </c>
      <c r="F28" s="126" t="e">
        <f>B28/'HVAC Calcs'!C28</f>
        <v>#DIV/0!</v>
      </c>
      <c r="G28" s="126" t="e">
        <f>B28/'HVAC Calcs'!D28</f>
        <v>#DIV/0!</v>
      </c>
      <c r="H28" s="125" t="e">
        <f t="shared" si="1"/>
        <v>#DIV/0!</v>
      </c>
      <c r="I28" s="148" t="e">
        <f>VLOOKUP('A-C &amp; Heat Pumps'!$E$4,References!$N$103:$Q$115,2,FALSE)</f>
        <v>#N/A</v>
      </c>
      <c r="J28" s="148" t="e">
        <f>VLOOKUP('A-C &amp; Heat Pumps'!$E$4,References!$N$103:$Q$115,3,FALSE)</f>
        <v>#N/A</v>
      </c>
      <c r="K28" s="100" t="e">
        <f>VLOOKUP('A-C &amp; Heat Pumps'!$E$4,References!$N$103:$Q$112,4,FALSE)</f>
        <v>#N/A</v>
      </c>
      <c r="M28" s="128" t="e">
        <f t="shared" si="2"/>
        <v>#N/A</v>
      </c>
      <c r="N28" s="115" t="e">
        <f>IF('A-C &amp; Heat Pumps'!$C31&gt;References!$F$12,B28/1000*J28*H28,0)</f>
        <v>#N/A</v>
      </c>
      <c r="O28" s="120" t="e">
        <f t="shared" si="3"/>
        <v>#DIV/0!</v>
      </c>
      <c r="Q28" s="121"/>
    </row>
    <row r="29" spans="1:17" ht="15" x14ac:dyDescent="0.25">
      <c r="A29">
        <v>27</v>
      </c>
      <c r="B29" s="128">
        <f>'A-C &amp; Heat Pumps'!G32*12000</f>
        <v>0</v>
      </c>
      <c r="C29" s="127">
        <f>'A-C &amp; Heat Pumps'!L32*'A-C &amp; Heat Pumps'!N32</f>
        <v>0</v>
      </c>
      <c r="D29" s="127">
        <f>'A-C &amp; Heat Pumps'!M32*'A-C &amp; Heat Pumps'!O32</f>
        <v>0</v>
      </c>
      <c r="E29" s="231" t="e">
        <f t="shared" si="0"/>
        <v>#DIV/0!</v>
      </c>
      <c r="F29" s="126" t="e">
        <f>B29/'HVAC Calcs'!C29</f>
        <v>#DIV/0!</v>
      </c>
      <c r="G29" s="126" t="e">
        <f>B29/'HVAC Calcs'!D29</f>
        <v>#DIV/0!</v>
      </c>
      <c r="H29" s="125" t="e">
        <f t="shared" si="1"/>
        <v>#DIV/0!</v>
      </c>
      <c r="I29" s="148" t="e">
        <f>VLOOKUP('A-C &amp; Heat Pumps'!$E$4,References!$N$103:$Q$115,2,FALSE)</f>
        <v>#N/A</v>
      </c>
      <c r="J29" s="148" t="e">
        <f>VLOOKUP('A-C &amp; Heat Pumps'!$E$4,References!$N$103:$Q$115,3,FALSE)</f>
        <v>#N/A</v>
      </c>
      <c r="K29" s="100" t="e">
        <f>VLOOKUP('A-C &amp; Heat Pumps'!$E$4,References!$N$103:$Q$112,4,FALSE)</f>
        <v>#N/A</v>
      </c>
      <c r="M29" s="128" t="e">
        <f t="shared" si="2"/>
        <v>#N/A</v>
      </c>
      <c r="N29" s="115" t="e">
        <f>IF('A-C &amp; Heat Pumps'!$C32&gt;References!$F$12,B29/1000*J29*H29,0)</f>
        <v>#N/A</v>
      </c>
      <c r="O29" s="120" t="e">
        <f t="shared" si="3"/>
        <v>#DIV/0!</v>
      </c>
      <c r="Q29" s="121"/>
    </row>
    <row r="30" spans="1:17" ht="15" x14ac:dyDescent="0.25">
      <c r="A30">
        <v>28</v>
      </c>
      <c r="B30" s="128">
        <f>'A-C &amp; Heat Pumps'!G33*12000</f>
        <v>0</v>
      </c>
      <c r="C30" s="127">
        <f>'A-C &amp; Heat Pumps'!L33*'A-C &amp; Heat Pumps'!N33</f>
        <v>0</v>
      </c>
      <c r="D30" s="127">
        <f>'A-C &amp; Heat Pumps'!M33*'A-C &amp; Heat Pumps'!O33</f>
        <v>0</v>
      </c>
      <c r="E30" s="231" t="e">
        <f t="shared" si="0"/>
        <v>#DIV/0!</v>
      </c>
      <c r="F30" s="126" t="e">
        <f>B30/'HVAC Calcs'!C30</f>
        <v>#DIV/0!</v>
      </c>
      <c r="G30" s="126" t="e">
        <f>B30/'HVAC Calcs'!D30</f>
        <v>#DIV/0!</v>
      </c>
      <c r="H30" s="125" t="e">
        <f t="shared" si="1"/>
        <v>#DIV/0!</v>
      </c>
      <c r="I30" s="148" t="e">
        <f>VLOOKUP('A-C &amp; Heat Pumps'!$E$4,References!$N$103:$Q$115,2,FALSE)</f>
        <v>#N/A</v>
      </c>
      <c r="J30" s="148" t="e">
        <f>VLOOKUP('A-C &amp; Heat Pumps'!$E$4,References!$N$103:$Q$115,3,FALSE)</f>
        <v>#N/A</v>
      </c>
      <c r="K30" s="100" t="e">
        <f>VLOOKUP('A-C &amp; Heat Pumps'!$E$4,References!$N$103:$Q$112,4,FALSE)</f>
        <v>#N/A</v>
      </c>
      <c r="M30" s="128" t="e">
        <f t="shared" si="2"/>
        <v>#N/A</v>
      </c>
      <c r="N30" s="115" t="e">
        <f>IF('A-C &amp; Heat Pumps'!$C33&gt;References!$F$12,B30/1000*J30*H30,0)</f>
        <v>#N/A</v>
      </c>
      <c r="O30" s="120" t="e">
        <f t="shared" si="3"/>
        <v>#DIV/0!</v>
      </c>
      <c r="Q30" s="121"/>
    </row>
    <row r="31" spans="1:17" ht="15" x14ac:dyDescent="0.25">
      <c r="A31">
        <v>29</v>
      </c>
      <c r="B31" s="128">
        <f>'A-C &amp; Heat Pumps'!G34*12000</f>
        <v>0</v>
      </c>
      <c r="C31" s="127">
        <f>'A-C &amp; Heat Pumps'!L34*'A-C &amp; Heat Pumps'!N34</f>
        <v>0</v>
      </c>
      <c r="D31" s="127">
        <f>'A-C &amp; Heat Pumps'!M34*'A-C &amp; Heat Pumps'!O34</f>
        <v>0</v>
      </c>
      <c r="E31" s="231" t="e">
        <f t="shared" si="0"/>
        <v>#DIV/0!</v>
      </c>
      <c r="F31" s="126" t="e">
        <f>B31/'HVAC Calcs'!C31</f>
        <v>#DIV/0!</v>
      </c>
      <c r="G31" s="126" t="e">
        <f>B31/'HVAC Calcs'!D31</f>
        <v>#DIV/0!</v>
      </c>
      <c r="H31" s="125" t="e">
        <f t="shared" si="1"/>
        <v>#DIV/0!</v>
      </c>
      <c r="I31" s="148" t="e">
        <f>VLOOKUP('A-C &amp; Heat Pumps'!$E$4,References!$N$103:$Q$115,2,FALSE)</f>
        <v>#N/A</v>
      </c>
      <c r="J31" s="148" t="e">
        <f>VLOOKUP('A-C &amp; Heat Pumps'!$E$4,References!$N$103:$Q$115,3,FALSE)</f>
        <v>#N/A</v>
      </c>
      <c r="K31" s="100" t="e">
        <f>VLOOKUP('A-C &amp; Heat Pumps'!$E$4,References!$N$103:$Q$112,4,FALSE)</f>
        <v>#N/A</v>
      </c>
      <c r="M31" s="128" t="e">
        <f t="shared" si="2"/>
        <v>#N/A</v>
      </c>
      <c r="N31" s="115" t="e">
        <f>IF('A-C &amp; Heat Pumps'!$C34&gt;References!$F$12,B31/1000*J31*H31,0)</f>
        <v>#N/A</v>
      </c>
      <c r="O31" s="120" t="e">
        <f t="shared" si="3"/>
        <v>#DIV/0!</v>
      </c>
      <c r="Q31" s="121"/>
    </row>
    <row r="32" spans="1:17" ht="15" x14ac:dyDescent="0.25">
      <c r="A32">
        <v>30</v>
      </c>
      <c r="B32" s="128">
        <f>'A-C &amp; Heat Pumps'!G35*12000</f>
        <v>0</v>
      </c>
      <c r="C32" s="127">
        <f>'A-C &amp; Heat Pumps'!L35*'A-C &amp; Heat Pumps'!N35</f>
        <v>0</v>
      </c>
      <c r="D32" s="127">
        <f>'A-C &amp; Heat Pumps'!M35*'A-C &amp; Heat Pumps'!O35</f>
        <v>0</v>
      </c>
      <c r="E32" s="231" t="e">
        <f t="shared" si="0"/>
        <v>#DIV/0!</v>
      </c>
      <c r="F32" s="126" t="e">
        <f>B32/'HVAC Calcs'!C32</f>
        <v>#DIV/0!</v>
      </c>
      <c r="G32" s="126" t="e">
        <f>B32/'HVAC Calcs'!D32</f>
        <v>#DIV/0!</v>
      </c>
      <c r="H32" s="125" t="e">
        <f t="shared" si="1"/>
        <v>#DIV/0!</v>
      </c>
      <c r="I32" s="148" t="e">
        <f>VLOOKUP('A-C &amp; Heat Pumps'!$E$4,References!$N$103:$Q$115,2,FALSE)</f>
        <v>#N/A</v>
      </c>
      <c r="J32" s="148" t="e">
        <f>VLOOKUP('A-C &amp; Heat Pumps'!$E$4,References!$N$103:$Q$115,3,FALSE)</f>
        <v>#N/A</v>
      </c>
      <c r="K32" s="100" t="e">
        <f>VLOOKUP('A-C &amp; Heat Pumps'!$E$4,References!$N$103:$Q$112,4,FALSE)</f>
        <v>#N/A</v>
      </c>
      <c r="M32" s="128" t="e">
        <f t="shared" si="2"/>
        <v>#N/A</v>
      </c>
      <c r="N32" s="115" t="e">
        <f>IF('A-C &amp; Heat Pumps'!$C35&gt;References!$F$12,B32/1000*J32*H32,0)</f>
        <v>#N/A</v>
      </c>
      <c r="O32" s="120" t="e">
        <f t="shared" si="3"/>
        <v>#DIV/0!</v>
      </c>
      <c r="Q32" s="121"/>
    </row>
    <row r="33" spans="1:17" ht="15" x14ac:dyDescent="0.25">
      <c r="A33">
        <v>31</v>
      </c>
      <c r="B33" s="128">
        <f>'A-C &amp; Heat Pumps'!G36*12000</f>
        <v>0</v>
      </c>
      <c r="C33" s="127">
        <f>'A-C &amp; Heat Pumps'!L36*'A-C &amp; Heat Pumps'!N36</f>
        <v>0</v>
      </c>
      <c r="D33" s="127">
        <f>'A-C &amp; Heat Pumps'!M36*'A-C &amp; Heat Pumps'!O36</f>
        <v>0</v>
      </c>
      <c r="E33" s="231" t="e">
        <f t="shared" si="0"/>
        <v>#DIV/0!</v>
      </c>
      <c r="F33" s="126" t="e">
        <f>B33/'HVAC Calcs'!C33</f>
        <v>#DIV/0!</v>
      </c>
      <c r="G33" s="126" t="e">
        <f>B33/'HVAC Calcs'!D33</f>
        <v>#DIV/0!</v>
      </c>
      <c r="H33" s="125" t="e">
        <f t="shared" si="1"/>
        <v>#DIV/0!</v>
      </c>
      <c r="I33" s="148" t="e">
        <f>VLOOKUP('A-C &amp; Heat Pumps'!$E$4,References!$N$103:$Q$115,2,FALSE)</f>
        <v>#N/A</v>
      </c>
      <c r="J33" s="148" t="e">
        <f>VLOOKUP('A-C &amp; Heat Pumps'!$E$4,References!$N$103:$Q$115,3,FALSE)</f>
        <v>#N/A</v>
      </c>
      <c r="K33" s="100" t="e">
        <f>VLOOKUP('A-C &amp; Heat Pumps'!$E$4,References!$N$103:$Q$112,4,FALSE)</f>
        <v>#N/A</v>
      </c>
      <c r="M33" s="128" t="e">
        <f t="shared" si="2"/>
        <v>#N/A</v>
      </c>
      <c r="N33" s="115" t="e">
        <f>IF('A-C &amp; Heat Pumps'!$C36&gt;References!$F$12,B33/1000*J33*H33,0)</f>
        <v>#N/A</v>
      </c>
      <c r="O33" s="120" t="e">
        <f t="shared" si="3"/>
        <v>#DIV/0!</v>
      </c>
      <c r="Q33" s="121"/>
    </row>
    <row r="34" spans="1:17" ht="15" x14ac:dyDescent="0.25">
      <c r="A34">
        <v>32</v>
      </c>
      <c r="B34" s="128">
        <f>'A-C &amp; Heat Pumps'!G37*12000</f>
        <v>0</v>
      </c>
      <c r="C34" s="127">
        <f>'A-C &amp; Heat Pumps'!L37*'A-C &amp; Heat Pumps'!N37</f>
        <v>0</v>
      </c>
      <c r="D34" s="127">
        <f>'A-C &amp; Heat Pumps'!M37*'A-C &amp; Heat Pumps'!O37</f>
        <v>0</v>
      </c>
      <c r="E34" s="231" t="e">
        <f t="shared" si="0"/>
        <v>#DIV/0!</v>
      </c>
      <c r="F34" s="126" t="e">
        <f>B34/'HVAC Calcs'!C34</f>
        <v>#DIV/0!</v>
      </c>
      <c r="G34" s="126" t="e">
        <f>B34/'HVAC Calcs'!D34</f>
        <v>#DIV/0!</v>
      </c>
      <c r="H34" s="125" t="e">
        <f t="shared" si="1"/>
        <v>#DIV/0!</v>
      </c>
      <c r="I34" s="148" t="e">
        <f>VLOOKUP('A-C &amp; Heat Pumps'!$E$4,References!$N$103:$Q$115,2,FALSE)</f>
        <v>#N/A</v>
      </c>
      <c r="J34" s="148" t="e">
        <f>VLOOKUP('A-C &amp; Heat Pumps'!$E$4,References!$N$103:$Q$115,3,FALSE)</f>
        <v>#N/A</v>
      </c>
      <c r="K34" s="100" t="e">
        <f>VLOOKUP('A-C &amp; Heat Pumps'!$E$4,References!$N$103:$Q$112,4,FALSE)</f>
        <v>#N/A</v>
      </c>
      <c r="M34" s="128" t="e">
        <f t="shared" si="2"/>
        <v>#N/A</v>
      </c>
      <c r="N34" s="115" t="e">
        <f>IF('A-C &amp; Heat Pumps'!$C37&gt;References!$F$12,B34/1000*J34*H34,0)</f>
        <v>#N/A</v>
      </c>
      <c r="O34" s="120" t="e">
        <f t="shared" si="3"/>
        <v>#DIV/0!</v>
      </c>
      <c r="Q34" s="121"/>
    </row>
    <row r="35" spans="1:17" ht="15" x14ac:dyDescent="0.25">
      <c r="A35">
        <v>33</v>
      </c>
      <c r="B35" s="128">
        <f>'A-C &amp; Heat Pumps'!G38*12000</f>
        <v>0</v>
      </c>
      <c r="C35" s="127">
        <f>'A-C &amp; Heat Pumps'!L38*'A-C &amp; Heat Pumps'!N38</f>
        <v>0</v>
      </c>
      <c r="D35" s="127">
        <f>'A-C &amp; Heat Pumps'!M38*'A-C &amp; Heat Pumps'!O38</f>
        <v>0</v>
      </c>
      <c r="E35" s="231" t="e">
        <f t="shared" si="0"/>
        <v>#DIV/0!</v>
      </c>
      <c r="F35" s="126" t="e">
        <f>B35/'HVAC Calcs'!C35</f>
        <v>#DIV/0!</v>
      </c>
      <c r="G35" s="126" t="e">
        <f>B35/'HVAC Calcs'!D35</f>
        <v>#DIV/0!</v>
      </c>
      <c r="H35" s="125" t="e">
        <f t="shared" si="1"/>
        <v>#DIV/0!</v>
      </c>
      <c r="I35" s="148" t="e">
        <f>VLOOKUP('A-C &amp; Heat Pumps'!$E$4,References!$N$103:$Q$115,2,FALSE)</f>
        <v>#N/A</v>
      </c>
      <c r="J35" s="148" t="e">
        <f>VLOOKUP('A-C &amp; Heat Pumps'!$E$4,References!$N$103:$Q$115,3,FALSE)</f>
        <v>#N/A</v>
      </c>
      <c r="K35" s="100" t="e">
        <f>VLOOKUP('A-C &amp; Heat Pumps'!$E$4,References!$N$103:$Q$112,4,FALSE)</f>
        <v>#N/A</v>
      </c>
      <c r="M35" s="128" t="e">
        <f t="shared" si="2"/>
        <v>#N/A</v>
      </c>
      <c r="N35" s="115" t="e">
        <f>IF('A-C &amp; Heat Pumps'!$C38&gt;References!$F$12,B35/1000*J35*H35,0)</f>
        <v>#N/A</v>
      </c>
      <c r="O35" s="120" t="e">
        <f t="shared" si="3"/>
        <v>#DIV/0!</v>
      </c>
      <c r="Q35" s="121"/>
    </row>
    <row r="36" spans="1:17" ht="15" x14ac:dyDescent="0.25">
      <c r="A36">
        <v>34</v>
      </c>
      <c r="B36" s="128">
        <f>'A-C &amp; Heat Pumps'!G39*12000</f>
        <v>0</v>
      </c>
      <c r="C36" s="127">
        <f>'A-C &amp; Heat Pumps'!L39*'A-C &amp; Heat Pumps'!N39</f>
        <v>0</v>
      </c>
      <c r="D36" s="127">
        <f>'A-C &amp; Heat Pumps'!M39*'A-C &amp; Heat Pumps'!O39</f>
        <v>0</v>
      </c>
      <c r="E36" s="231" t="e">
        <f t="shared" si="0"/>
        <v>#DIV/0!</v>
      </c>
      <c r="F36" s="126" t="e">
        <f>B36/'HVAC Calcs'!C36</f>
        <v>#DIV/0!</v>
      </c>
      <c r="G36" s="126" t="e">
        <f>B36/'HVAC Calcs'!D36</f>
        <v>#DIV/0!</v>
      </c>
      <c r="H36" s="125" t="e">
        <f t="shared" si="1"/>
        <v>#DIV/0!</v>
      </c>
      <c r="I36" s="148" t="e">
        <f>VLOOKUP('A-C &amp; Heat Pumps'!$E$4,References!$N$103:$Q$115,2,FALSE)</f>
        <v>#N/A</v>
      </c>
      <c r="J36" s="148" t="e">
        <f>VLOOKUP('A-C &amp; Heat Pumps'!$E$4,References!$N$103:$Q$115,3,FALSE)</f>
        <v>#N/A</v>
      </c>
      <c r="K36" s="100" t="e">
        <f>VLOOKUP('A-C &amp; Heat Pumps'!$E$4,References!$N$103:$Q$112,4,FALSE)</f>
        <v>#N/A</v>
      </c>
      <c r="M36" s="128" t="e">
        <f t="shared" si="2"/>
        <v>#N/A</v>
      </c>
      <c r="N36" s="115" t="e">
        <f>IF('A-C &amp; Heat Pumps'!$C39&gt;References!$F$12,B36/1000*J36*H36,0)</f>
        <v>#N/A</v>
      </c>
      <c r="O36" s="120" t="e">
        <f t="shared" si="3"/>
        <v>#DIV/0!</v>
      </c>
      <c r="Q36" s="121"/>
    </row>
    <row r="37" spans="1:17" ht="15" x14ac:dyDescent="0.25">
      <c r="A37">
        <v>35</v>
      </c>
      <c r="B37" s="128">
        <f>'A-C &amp; Heat Pumps'!G40*12000</f>
        <v>0</v>
      </c>
      <c r="C37" s="127">
        <f>'A-C &amp; Heat Pumps'!L40*'A-C &amp; Heat Pumps'!N40</f>
        <v>0</v>
      </c>
      <c r="D37" s="127">
        <f>'A-C &amp; Heat Pumps'!M40*'A-C &amp; Heat Pumps'!O40</f>
        <v>0</v>
      </c>
      <c r="E37" s="231" t="e">
        <f t="shared" si="0"/>
        <v>#DIV/0!</v>
      </c>
      <c r="F37" s="126" t="e">
        <f>B37/'HVAC Calcs'!C37</f>
        <v>#DIV/0!</v>
      </c>
      <c r="G37" s="126" t="e">
        <f>B37/'HVAC Calcs'!D37</f>
        <v>#DIV/0!</v>
      </c>
      <c r="H37" s="125" t="e">
        <f t="shared" si="1"/>
        <v>#DIV/0!</v>
      </c>
      <c r="I37" s="148" t="e">
        <f>VLOOKUP('A-C &amp; Heat Pumps'!$E$4,References!$N$103:$Q$115,2,FALSE)</f>
        <v>#N/A</v>
      </c>
      <c r="J37" s="148" t="e">
        <f>VLOOKUP('A-C &amp; Heat Pumps'!$E$4,References!$N$103:$Q$115,3,FALSE)</f>
        <v>#N/A</v>
      </c>
      <c r="K37" s="100" t="e">
        <f>VLOOKUP('A-C &amp; Heat Pumps'!$E$4,References!$N$103:$Q$112,4,FALSE)</f>
        <v>#N/A</v>
      </c>
      <c r="M37" s="128" t="e">
        <f t="shared" si="2"/>
        <v>#N/A</v>
      </c>
      <c r="N37" s="115" t="e">
        <f>IF('A-C &amp; Heat Pumps'!$C40&gt;References!$F$12,B37/1000*J37*H37,0)</f>
        <v>#N/A</v>
      </c>
      <c r="O37" s="120" t="e">
        <f t="shared" si="3"/>
        <v>#DIV/0!</v>
      </c>
      <c r="Q37" s="121"/>
    </row>
    <row r="38" spans="1:17" ht="15" x14ac:dyDescent="0.25">
      <c r="A38">
        <v>36</v>
      </c>
      <c r="B38" s="128">
        <f>'A-C &amp; Heat Pumps'!G41*12000</f>
        <v>0</v>
      </c>
      <c r="C38" s="127">
        <f>'A-C &amp; Heat Pumps'!L41*'A-C &amp; Heat Pumps'!N41</f>
        <v>0</v>
      </c>
      <c r="D38" s="127">
        <f>'A-C &amp; Heat Pumps'!M41*'A-C &amp; Heat Pumps'!O41</f>
        <v>0</v>
      </c>
      <c r="E38" s="231" t="e">
        <f t="shared" si="0"/>
        <v>#DIV/0!</v>
      </c>
      <c r="F38" s="126" t="e">
        <f>B38/'HVAC Calcs'!C38</f>
        <v>#DIV/0!</v>
      </c>
      <c r="G38" s="126" t="e">
        <f>B38/'HVAC Calcs'!D38</f>
        <v>#DIV/0!</v>
      </c>
      <c r="H38" s="125" t="e">
        <f t="shared" si="1"/>
        <v>#DIV/0!</v>
      </c>
      <c r="I38" s="148" t="e">
        <f>VLOOKUP('A-C &amp; Heat Pumps'!$E$4,References!$N$103:$Q$115,2,FALSE)</f>
        <v>#N/A</v>
      </c>
      <c r="J38" s="148" t="e">
        <f>VLOOKUP('A-C &amp; Heat Pumps'!$E$4,References!$N$103:$Q$115,3,FALSE)</f>
        <v>#N/A</v>
      </c>
      <c r="K38" s="100" t="e">
        <f>VLOOKUP('A-C &amp; Heat Pumps'!$E$4,References!$N$103:$Q$112,4,FALSE)</f>
        <v>#N/A</v>
      </c>
      <c r="M38" s="128" t="e">
        <f t="shared" si="2"/>
        <v>#N/A</v>
      </c>
      <c r="N38" s="115" t="e">
        <f>IF('A-C &amp; Heat Pumps'!$C41&gt;References!$F$12,B38/1000*J38*H38,0)</f>
        <v>#N/A</v>
      </c>
      <c r="O38" s="120" t="e">
        <f t="shared" si="3"/>
        <v>#DIV/0!</v>
      </c>
      <c r="Q38" s="121"/>
    </row>
    <row r="39" spans="1:17" ht="15" x14ac:dyDescent="0.25">
      <c r="A39">
        <v>37</v>
      </c>
      <c r="B39" s="128">
        <f>'A-C &amp; Heat Pumps'!G42*12000</f>
        <v>0</v>
      </c>
      <c r="C39" s="127">
        <f>'A-C &amp; Heat Pumps'!L42*'A-C &amp; Heat Pumps'!N42</f>
        <v>0</v>
      </c>
      <c r="D39" s="127">
        <f>'A-C &amp; Heat Pumps'!M42*'A-C &amp; Heat Pumps'!O42</f>
        <v>0</v>
      </c>
      <c r="E39" s="231" t="e">
        <f t="shared" si="0"/>
        <v>#DIV/0!</v>
      </c>
      <c r="F39" s="126" t="e">
        <f>B39/'HVAC Calcs'!C39</f>
        <v>#DIV/0!</v>
      </c>
      <c r="G39" s="126" t="e">
        <f>B39/'HVAC Calcs'!D39</f>
        <v>#DIV/0!</v>
      </c>
      <c r="H39" s="125" t="e">
        <f t="shared" si="1"/>
        <v>#DIV/0!</v>
      </c>
      <c r="I39" s="148" t="e">
        <f>VLOOKUP('A-C &amp; Heat Pumps'!$E$4,References!$N$103:$Q$115,2,FALSE)</f>
        <v>#N/A</v>
      </c>
      <c r="J39" s="148" t="e">
        <f>VLOOKUP('A-C &amp; Heat Pumps'!$E$4,References!$N$103:$Q$115,3,FALSE)</f>
        <v>#N/A</v>
      </c>
      <c r="K39" s="100" t="e">
        <f>VLOOKUP('A-C &amp; Heat Pumps'!$E$4,References!$N$103:$Q$112,4,FALSE)</f>
        <v>#N/A</v>
      </c>
      <c r="M39" s="128" t="e">
        <f t="shared" si="2"/>
        <v>#N/A</v>
      </c>
      <c r="N39" s="115" t="e">
        <f>IF('A-C &amp; Heat Pumps'!$C42&gt;References!$F$12,B39/1000*J39*H39,0)</f>
        <v>#N/A</v>
      </c>
      <c r="O39" s="120" t="e">
        <f t="shared" si="3"/>
        <v>#DIV/0!</v>
      </c>
      <c r="Q39" s="121"/>
    </row>
    <row r="40" spans="1:17" ht="15" x14ac:dyDescent="0.25">
      <c r="A40">
        <v>38</v>
      </c>
      <c r="B40" s="128">
        <f>'A-C &amp; Heat Pumps'!G43*12000</f>
        <v>0</v>
      </c>
      <c r="C40" s="127">
        <f>'A-C &amp; Heat Pumps'!L43*'A-C &amp; Heat Pumps'!N43</f>
        <v>0</v>
      </c>
      <c r="D40" s="127">
        <f>'A-C &amp; Heat Pumps'!M43*'A-C &amp; Heat Pumps'!O43</f>
        <v>0</v>
      </c>
      <c r="E40" s="231" t="e">
        <f t="shared" si="0"/>
        <v>#DIV/0!</v>
      </c>
      <c r="F40" s="126" t="e">
        <f>B40/'HVAC Calcs'!C40</f>
        <v>#DIV/0!</v>
      </c>
      <c r="G40" s="126" t="e">
        <f>B40/'HVAC Calcs'!D40</f>
        <v>#DIV/0!</v>
      </c>
      <c r="H40" s="125" t="e">
        <f t="shared" si="1"/>
        <v>#DIV/0!</v>
      </c>
      <c r="I40" s="148" t="e">
        <f>VLOOKUP('A-C &amp; Heat Pumps'!$E$4,References!$N$103:$Q$115,2,FALSE)</f>
        <v>#N/A</v>
      </c>
      <c r="J40" s="148" t="e">
        <f>VLOOKUP('A-C &amp; Heat Pumps'!$E$4,References!$N$103:$Q$115,3,FALSE)</f>
        <v>#N/A</v>
      </c>
      <c r="K40" s="100" t="e">
        <f>VLOOKUP('A-C &amp; Heat Pumps'!$E$4,References!$N$103:$Q$112,4,FALSE)</f>
        <v>#N/A</v>
      </c>
      <c r="M40" s="128" t="e">
        <f t="shared" si="2"/>
        <v>#N/A</v>
      </c>
      <c r="N40" s="115" t="e">
        <f>IF('A-C &amp; Heat Pumps'!$C43&gt;References!$F$12,B40/1000*J40*H40,0)</f>
        <v>#N/A</v>
      </c>
      <c r="O40" s="120" t="e">
        <f t="shared" si="3"/>
        <v>#DIV/0!</v>
      </c>
      <c r="Q40" s="121"/>
    </row>
    <row r="41" spans="1:17" ht="15" x14ac:dyDescent="0.25">
      <c r="A41">
        <v>39</v>
      </c>
      <c r="B41" s="128">
        <f>'A-C &amp; Heat Pumps'!G44*12000</f>
        <v>0</v>
      </c>
      <c r="C41" s="127">
        <f>'A-C &amp; Heat Pumps'!L44*'A-C &amp; Heat Pumps'!N44</f>
        <v>0</v>
      </c>
      <c r="D41" s="127">
        <f>'A-C &amp; Heat Pumps'!M44*'A-C &amp; Heat Pumps'!O44</f>
        <v>0</v>
      </c>
      <c r="E41" s="231" t="e">
        <f t="shared" si="0"/>
        <v>#DIV/0!</v>
      </c>
      <c r="F41" s="126" t="e">
        <f>B41/'HVAC Calcs'!C41</f>
        <v>#DIV/0!</v>
      </c>
      <c r="G41" s="126" t="e">
        <f>B41/'HVAC Calcs'!D41</f>
        <v>#DIV/0!</v>
      </c>
      <c r="H41" s="125" t="e">
        <f t="shared" si="1"/>
        <v>#DIV/0!</v>
      </c>
      <c r="I41" s="148" t="e">
        <f>VLOOKUP('A-C &amp; Heat Pumps'!$E$4,References!$N$103:$Q$115,2,FALSE)</f>
        <v>#N/A</v>
      </c>
      <c r="J41" s="148" t="e">
        <f>VLOOKUP('A-C &amp; Heat Pumps'!$E$4,References!$N$103:$Q$115,3,FALSE)</f>
        <v>#N/A</v>
      </c>
      <c r="K41" s="100" t="e">
        <f>VLOOKUP('A-C &amp; Heat Pumps'!$E$4,References!$N$103:$Q$112,4,FALSE)</f>
        <v>#N/A</v>
      </c>
      <c r="M41" s="128" t="e">
        <f t="shared" si="2"/>
        <v>#N/A</v>
      </c>
      <c r="N41" s="115" t="e">
        <f>IF('A-C &amp; Heat Pumps'!$C44&gt;References!$F$12,B41/1000*J41*H41,0)</f>
        <v>#N/A</v>
      </c>
      <c r="O41" s="120" t="e">
        <f t="shared" si="3"/>
        <v>#DIV/0!</v>
      </c>
      <c r="Q41" s="121"/>
    </row>
    <row r="42" spans="1:17" ht="15" x14ac:dyDescent="0.25">
      <c r="A42">
        <v>40</v>
      </c>
      <c r="B42" s="128">
        <f>'A-C &amp; Heat Pumps'!G45*12000</f>
        <v>0</v>
      </c>
      <c r="C42" s="127">
        <f>'A-C &amp; Heat Pumps'!L45*'A-C &amp; Heat Pumps'!N45</f>
        <v>0</v>
      </c>
      <c r="D42" s="127">
        <f>'A-C &amp; Heat Pumps'!M45*'A-C &amp; Heat Pumps'!O45</f>
        <v>0</v>
      </c>
      <c r="E42" s="231" t="e">
        <f t="shared" si="0"/>
        <v>#DIV/0!</v>
      </c>
      <c r="F42" s="126" t="e">
        <f>B42/'HVAC Calcs'!C42</f>
        <v>#DIV/0!</v>
      </c>
      <c r="G42" s="126" t="e">
        <f>B42/'HVAC Calcs'!D42</f>
        <v>#DIV/0!</v>
      </c>
      <c r="H42" s="125" t="e">
        <f t="shared" si="1"/>
        <v>#DIV/0!</v>
      </c>
      <c r="I42" s="148" t="e">
        <f>VLOOKUP('A-C &amp; Heat Pumps'!$E$4,References!$N$103:$Q$115,2,FALSE)</f>
        <v>#N/A</v>
      </c>
      <c r="J42" s="148" t="e">
        <f>VLOOKUP('A-C &amp; Heat Pumps'!$E$4,References!$N$103:$Q$115,3,FALSE)</f>
        <v>#N/A</v>
      </c>
      <c r="K42" s="100" t="e">
        <f>VLOOKUP('A-C &amp; Heat Pumps'!$E$4,References!$N$103:$Q$112,4,FALSE)</f>
        <v>#N/A</v>
      </c>
      <c r="M42" s="128" t="e">
        <f t="shared" si="2"/>
        <v>#N/A</v>
      </c>
      <c r="N42" s="115" t="e">
        <f>IF('A-C &amp; Heat Pumps'!$C45&gt;References!$F$12,B42/1000*J42*H42,0)</f>
        <v>#N/A</v>
      </c>
      <c r="O42" s="120" t="e">
        <f t="shared" si="3"/>
        <v>#DIV/0!</v>
      </c>
      <c r="Q42" s="121"/>
    </row>
    <row r="43" spans="1:17" ht="15" x14ac:dyDescent="0.25">
      <c r="A43">
        <v>41</v>
      </c>
      <c r="B43" s="128">
        <f>'A-C &amp; Heat Pumps'!G46*12000</f>
        <v>0</v>
      </c>
      <c r="C43" s="127">
        <f>'A-C &amp; Heat Pumps'!L46*'A-C &amp; Heat Pumps'!N46</f>
        <v>0</v>
      </c>
      <c r="D43" s="127">
        <f>'A-C &amp; Heat Pumps'!M46*'A-C &amp; Heat Pumps'!O46</f>
        <v>0</v>
      </c>
      <c r="E43" s="231" t="e">
        <f t="shared" si="0"/>
        <v>#DIV/0!</v>
      </c>
      <c r="F43" s="126" t="e">
        <f>B43/'HVAC Calcs'!C43</f>
        <v>#DIV/0!</v>
      </c>
      <c r="G43" s="126" t="e">
        <f>B43/'HVAC Calcs'!D43</f>
        <v>#DIV/0!</v>
      </c>
      <c r="H43" s="125" t="e">
        <f t="shared" si="1"/>
        <v>#DIV/0!</v>
      </c>
      <c r="I43" s="148" t="e">
        <f>VLOOKUP('A-C &amp; Heat Pumps'!$E$4,References!$N$103:$Q$115,2,FALSE)</f>
        <v>#N/A</v>
      </c>
      <c r="J43" s="148" t="e">
        <f>VLOOKUP('A-C &amp; Heat Pumps'!$E$4,References!$N$103:$Q$115,3,FALSE)</f>
        <v>#N/A</v>
      </c>
      <c r="K43" s="100" t="e">
        <f>VLOOKUP('A-C &amp; Heat Pumps'!$E$4,References!$N$103:$Q$112,4,FALSE)</f>
        <v>#N/A</v>
      </c>
      <c r="M43" s="128" t="e">
        <f t="shared" si="2"/>
        <v>#N/A</v>
      </c>
      <c r="N43" s="115" t="e">
        <f>IF('A-C &amp; Heat Pumps'!$C46&gt;References!$F$12,B43/1000*J43*H43,0)</f>
        <v>#N/A</v>
      </c>
      <c r="O43" s="120" t="e">
        <f t="shared" si="3"/>
        <v>#DIV/0!</v>
      </c>
      <c r="Q43" s="121"/>
    </row>
    <row r="44" spans="1:17" ht="15" x14ac:dyDescent="0.25">
      <c r="A44">
        <v>42</v>
      </c>
      <c r="B44" s="128">
        <f>'A-C &amp; Heat Pumps'!G47*12000</f>
        <v>0</v>
      </c>
      <c r="C44" s="127">
        <f>'A-C &amp; Heat Pumps'!L47*'A-C &amp; Heat Pumps'!N47</f>
        <v>0</v>
      </c>
      <c r="D44" s="127">
        <f>'A-C &amp; Heat Pumps'!M47*'A-C &amp; Heat Pumps'!O47</f>
        <v>0</v>
      </c>
      <c r="E44" s="231" t="e">
        <f t="shared" si="0"/>
        <v>#DIV/0!</v>
      </c>
      <c r="F44" s="126" t="e">
        <f>B44/'HVAC Calcs'!C44</f>
        <v>#DIV/0!</v>
      </c>
      <c r="G44" s="126" t="e">
        <f>B44/'HVAC Calcs'!D44</f>
        <v>#DIV/0!</v>
      </c>
      <c r="H44" s="125" t="e">
        <f t="shared" si="1"/>
        <v>#DIV/0!</v>
      </c>
      <c r="I44" s="148" t="e">
        <f>VLOOKUP('A-C &amp; Heat Pumps'!$E$4,References!$N$103:$Q$115,2,FALSE)</f>
        <v>#N/A</v>
      </c>
      <c r="J44" s="148" t="e">
        <f>VLOOKUP('A-C &amp; Heat Pumps'!$E$4,References!$N$103:$Q$115,3,FALSE)</f>
        <v>#N/A</v>
      </c>
      <c r="K44" s="100" t="e">
        <f>VLOOKUP('A-C &amp; Heat Pumps'!$E$4,References!$N$103:$Q$112,4,FALSE)</f>
        <v>#N/A</v>
      </c>
      <c r="M44" s="128" t="e">
        <f t="shared" si="2"/>
        <v>#N/A</v>
      </c>
      <c r="N44" s="115" t="e">
        <f>IF('A-C &amp; Heat Pumps'!$C47&gt;References!$F$12,B44/1000*J44*H44,0)</f>
        <v>#N/A</v>
      </c>
      <c r="O44" s="120" t="e">
        <f t="shared" si="3"/>
        <v>#DIV/0!</v>
      </c>
      <c r="Q44" s="121"/>
    </row>
    <row r="45" spans="1:17" ht="15" x14ac:dyDescent="0.25">
      <c r="A45">
        <v>43</v>
      </c>
      <c r="B45" s="128">
        <f>'A-C &amp; Heat Pumps'!G48*12000</f>
        <v>0</v>
      </c>
      <c r="C45" s="127">
        <f>'A-C &amp; Heat Pumps'!L48*'A-C &amp; Heat Pumps'!N48</f>
        <v>0</v>
      </c>
      <c r="D45" s="127">
        <f>'A-C &amp; Heat Pumps'!M48*'A-C &amp; Heat Pumps'!O48</f>
        <v>0</v>
      </c>
      <c r="E45" s="231" t="e">
        <f t="shared" si="0"/>
        <v>#DIV/0!</v>
      </c>
      <c r="F45" s="126" t="e">
        <f>B45/'HVAC Calcs'!C45</f>
        <v>#DIV/0!</v>
      </c>
      <c r="G45" s="126" t="e">
        <f>B45/'HVAC Calcs'!D45</f>
        <v>#DIV/0!</v>
      </c>
      <c r="H45" s="125" t="e">
        <f t="shared" si="1"/>
        <v>#DIV/0!</v>
      </c>
      <c r="I45" s="148" t="e">
        <f>VLOOKUP('A-C &amp; Heat Pumps'!$E$4,References!$N$103:$Q$115,2,FALSE)</f>
        <v>#N/A</v>
      </c>
      <c r="J45" s="148" t="e">
        <f>VLOOKUP('A-C &amp; Heat Pumps'!$E$4,References!$N$103:$Q$115,3,FALSE)</f>
        <v>#N/A</v>
      </c>
      <c r="K45" s="100" t="e">
        <f>VLOOKUP('A-C &amp; Heat Pumps'!$E$4,References!$N$103:$Q$112,4,FALSE)</f>
        <v>#N/A</v>
      </c>
      <c r="M45" s="128" t="e">
        <f t="shared" si="2"/>
        <v>#N/A</v>
      </c>
      <c r="N45" s="115" t="e">
        <f>IF('A-C &amp; Heat Pumps'!$C48&gt;References!$F$12,B45/1000*J45*H45,0)</f>
        <v>#N/A</v>
      </c>
      <c r="O45" s="120" t="e">
        <f t="shared" si="3"/>
        <v>#DIV/0!</v>
      </c>
      <c r="Q45" s="121"/>
    </row>
    <row r="46" spans="1:17" ht="15" x14ac:dyDescent="0.25">
      <c r="A46">
        <v>44</v>
      </c>
      <c r="B46" s="128">
        <f>'A-C &amp; Heat Pumps'!G49*12000</f>
        <v>0</v>
      </c>
      <c r="C46" s="127">
        <f>'A-C &amp; Heat Pumps'!L49*'A-C &amp; Heat Pumps'!N49</f>
        <v>0</v>
      </c>
      <c r="D46" s="127">
        <f>'A-C &amp; Heat Pumps'!M49*'A-C &amp; Heat Pumps'!O49</f>
        <v>0</v>
      </c>
      <c r="E46" s="231" t="e">
        <f t="shared" si="0"/>
        <v>#DIV/0!</v>
      </c>
      <c r="F46" s="126" t="e">
        <f>B46/'HVAC Calcs'!C46</f>
        <v>#DIV/0!</v>
      </c>
      <c r="G46" s="126" t="e">
        <f>B46/'HVAC Calcs'!D46</f>
        <v>#DIV/0!</v>
      </c>
      <c r="H46" s="125" t="e">
        <f t="shared" si="1"/>
        <v>#DIV/0!</v>
      </c>
      <c r="I46" s="148" t="e">
        <f>VLOOKUP('A-C &amp; Heat Pumps'!$E$4,References!$N$103:$Q$115,2,FALSE)</f>
        <v>#N/A</v>
      </c>
      <c r="J46" s="148" t="e">
        <f>VLOOKUP('A-C &amp; Heat Pumps'!$E$4,References!$N$103:$Q$115,3,FALSE)</f>
        <v>#N/A</v>
      </c>
      <c r="K46" s="100" t="e">
        <f>VLOOKUP('A-C &amp; Heat Pumps'!$E$4,References!$N$103:$Q$112,4,FALSE)</f>
        <v>#N/A</v>
      </c>
      <c r="M46" s="128" t="e">
        <f t="shared" si="2"/>
        <v>#N/A</v>
      </c>
      <c r="N46" s="115" t="e">
        <f>IF('A-C &amp; Heat Pumps'!$C49&gt;References!$F$12,B46/1000*J46*H46,0)</f>
        <v>#N/A</v>
      </c>
      <c r="O46" s="120" t="e">
        <f t="shared" si="3"/>
        <v>#DIV/0!</v>
      </c>
      <c r="Q46" s="121"/>
    </row>
    <row r="47" spans="1:17" ht="15" x14ac:dyDescent="0.25">
      <c r="A47">
        <v>45</v>
      </c>
      <c r="B47" s="128">
        <f>'A-C &amp; Heat Pumps'!G50*12000</f>
        <v>0</v>
      </c>
      <c r="C47" s="127">
        <f>'A-C &amp; Heat Pumps'!L50*'A-C &amp; Heat Pumps'!N50</f>
        <v>0</v>
      </c>
      <c r="D47" s="127">
        <f>'A-C &amp; Heat Pumps'!M50*'A-C &amp; Heat Pumps'!O50</f>
        <v>0</v>
      </c>
      <c r="E47" s="231" t="e">
        <f t="shared" si="0"/>
        <v>#DIV/0!</v>
      </c>
      <c r="F47" s="126" t="e">
        <f>B47/'HVAC Calcs'!C47</f>
        <v>#DIV/0!</v>
      </c>
      <c r="G47" s="126" t="e">
        <f>B47/'HVAC Calcs'!D47</f>
        <v>#DIV/0!</v>
      </c>
      <c r="H47" s="125" t="e">
        <f t="shared" si="1"/>
        <v>#DIV/0!</v>
      </c>
      <c r="I47" s="148" t="e">
        <f>VLOOKUP('A-C &amp; Heat Pumps'!$E$4,References!$N$103:$Q$115,2,FALSE)</f>
        <v>#N/A</v>
      </c>
      <c r="J47" s="148" t="e">
        <f>VLOOKUP('A-C &amp; Heat Pumps'!$E$4,References!$N$103:$Q$115,3,FALSE)</f>
        <v>#N/A</v>
      </c>
      <c r="K47" s="100" t="e">
        <f>VLOOKUP('A-C &amp; Heat Pumps'!$E$4,References!$N$103:$Q$112,4,FALSE)</f>
        <v>#N/A</v>
      </c>
      <c r="M47" s="128" t="e">
        <f t="shared" si="2"/>
        <v>#N/A</v>
      </c>
      <c r="N47" s="115" t="e">
        <f>IF('A-C &amp; Heat Pumps'!$C50&gt;References!$F$12,B47/1000*J47*H47,0)</f>
        <v>#N/A</v>
      </c>
      <c r="O47" s="120" t="e">
        <f t="shared" si="3"/>
        <v>#DIV/0!</v>
      </c>
      <c r="Q47" s="121"/>
    </row>
    <row r="48" spans="1:17" ht="15" x14ac:dyDescent="0.25">
      <c r="A48">
        <v>46</v>
      </c>
      <c r="B48" s="128">
        <f>'A-C &amp; Heat Pumps'!G51*12000</f>
        <v>0</v>
      </c>
      <c r="C48" s="127">
        <f>'A-C &amp; Heat Pumps'!L51*'A-C &amp; Heat Pumps'!N51</f>
        <v>0</v>
      </c>
      <c r="D48" s="127">
        <f>'A-C &amp; Heat Pumps'!M51*'A-C &amp; Heat Pumps'!O51</f>
        <v>0</v>
      </c>
      <c r="E48" s="231" t="e">
        <f t="shared" si="0"/>
        <v>#DIV/0!</v>
      </c>
      <c r="F48" s="126" t="e">
        <f>B48/'HVAC Calcs'!C48</f>
        <v>#DIV/0!</v>
      </c>
      <c r="G48" s="126" t="e">
        <f>B48/'HVAC Calcs'!D48</f>
        <v>#DIV/0!</v>
      </c>
      <c r="H48" s="125" t="e">
        <f t="shared" si="1"/>
        <v>#DIV/0!</v>
      </c>
      <c r="I48" s="148" t="e">
        <f>VLOOKUP('A-C &amp; Heat Pumps'!$E$4,References!$N$103:$Q$115,2,FALSE)</f>
        <v>#N/A</v>
      </c>
      <c r="J48" s="148" t="e">
        <f>VLOOKUP('A-C &amp; Heat Pumps'!$E$4,References!$N$103:$Q$115,3,FALSE)</f>
        <v>#N/A</v>
      </c>
      <c r="K48" s="100" t="e">
        <f>VLOOKUP('A-C &amp; Heat Pumps'!$E$4,References!$N$103:$Q$112,4,FALSE)</f>
        <v>#N/A</v>
      </c>
      <c r="M48" s="128" t="e">
        <f t="shared" si="2"/>
        <v>#N/A</v>
      </c>
      <c r="N48" s="115" t="e">
        <f>IF('A-C &amp; Heat Pumps'!$C51&gt;References!$F$12,B48/1000*J48*H48,0)</f>
        <v>#N/A</v>
      </c>
      <c r="O48" s="120" t="e">
        <f t="shared" si="3"/>
        <v>#DIV/0!</v>
      </c>
      <c r="Q48" s="121"/>
    </row>
    <row r="49" spans="1:17" ht="15" x14ac:dyDescent="0.25">
      <c r="A49">
        <v>47</v>
      </c>
      <c r="B49" s="128">
        <f>'A-C &amp; Heat Pumps'!G52*12000</f>
        <v>0</v>
      </c>
      <c r="C49" s="127">
        <f>'A-C &amp; Heat Pumps'!L52*'A-C &amp; Heat Pumps'!N52</f>
        <v>0</v>
      </c>
      <c r="D49" s="127">
        <f>'A-C &amp; Heat Pumps'!M52*'A-C &amp; Heat Pumps'!O52</f>
        <v>0</v>
      </c>
      <c r="E49" s="231" t="e">
        <f t="shared" si="0"/>
        <v>#DIV/0!</v>
      </c>
      <c r="F49" s="126" t="e">
        <f>B49/'HVAC Calcs'!C49</f>
        <v>#DIV/0!</v>
      </c>
      <c r="G49" s="126" t="e">
        <f>B49/'HVAC Calcs'!D49</f>
        <v>#DIV/0!</v>
      </c>
      <c r="H49" s="125" t="e">
        <f t="shared" si="1"/>
        <v>#DIV/0!</v>
      </c>
      <c r="I49" s="148" t="e">
        <f>VLOOKUP('A-C &amp; Heat Pumps'!$E$4,References!$N$103:$Q$115,2,FALSE)</f>
        <v>#N/A</v>
      </c>
      <c r="J49" s="148" t="e">
        <f>VLOOKUP('A-C &amp; Heat Pumps'!$E$4,References!$N$103:$Q$115,3,FALSE)</f>
        <v>#N/A</v>
      </c>
      <c r="K49" s="100" t="e">
        <f>VLOOKUP('A-C &amp; Heat Pumps'!$E$4,References!$N$103:$Q$112,4,FALSE)</f>
        <v>#N/A</v>
      </c>
      <c r="M49" s="128" t="e">
        <f t="shared" si="2"/>
        <v>#N/A</v>
      </c>
      <c r="N49" s="115" t="e">
        <f>IF('A-C &amp; Heat Pumps'!$C52&gt;References!$F$12,B49/1000*J49*H49,0)</f>
        <v>#N/A</v>
      </c>
      <c r="O49" s="120" t="e">
        <f t="shared" si="3"/>
        <v>#DIV/0!</v>
      </c>
      <c r="Q49" s="121"/>
    </row>
    <row r="50" spans="1:17" ht="15" x14ac:dyDescent="0.25">
      <c r="A50">
        <v>48</v>
      </c>
      <c r="B50" s="128">
        <f>'A-C &amp; Heat Pumps'!G53*12000</f>
        <v>0</v>
      </c>
      <c r="C50" s="127">
        <f>'A-C &amp; Heat Pumps'!L53*'A-C &amp; Heat Pumps'!N53</f>
        <v>0</v>
      </c>
      <c r="D50" s="127">
        <f>'A-C &amp; Heat Pumps'!M53*'A-C &amp; Heat Pumps'!O53</f>
        <v>0</v>
      </c>
      <c r="E50" s="231" t="e">
        <f t="shared" si="0"/>
        <v>#DIV/0!</v>
      </c>
      <c r="F50" s="126" t="e">
        <f>B50/'HVAC Calcs'!C50</f>
        <v>#DIV/0!</v>
      </c>
      <c r="G50" s="126" t="e">
        <f>B50/'HVAC Calcs'!D50</f>
        <v>#DIV/0!</v>
      </c>
      <c r="H50" s="125" t="e">
        <f t="shared" si="1"/>
        <v>#DIV/0!</v>
      </c>
      <c r="I50" s="148" t="e">
        <f>VLOOKUP('A-C &amp; Heat Pumps'!$E$4,References!$N$103:$Q$115,2,FALSE)</f>
        <v>#N/A</v>
      </c>
      <c r="J50" s="148" t="e">
        <f>VLOOKUP('A-C &amp; Heat Pumps'!$E$4,References!$N$103:$Q$115,3,FALSE)</f>
        <v>#N/A</v>
      </c>
      <c r="K50" s="100" t="e">
        <f>VLOOKUP('A-C &amp; Heat Pumps'!$E$4,References!$N$103:$Q$112,4,FALSE)</f>
        <v>#N/A</v>
      </c>
      <c r="M50" s="128" t="e">
        <f t="shared" si="2"/>
        <v>#N/A</v>
      </c>
      <c r="N50" s="115" t="e">
        <f>IF('A-C &amp; Heat Pumps'!$C53&gt;References!$F$12,B50/1000*J50*H50,0)</f>
        <v>#N/A</v>
      </c>
      <c r="O50" s="120" t="e">
        <f t="shared" si="3"/>
        <v>#DIV/0!</v>
      </c>
      <c r="Q50" s="121"/>
    </row>
    <row r="51" spans="1:17" ht="15" x14ac:dyDescent="0.25">
      <c r="A51">
        <v>49</v>
      </c>
      <c r="B51" s="128">
        <f>'A-C &amp; Heat Pumps'!G54*12000</f>
        <v>0</v>
      </c>
      <c r="C51" s="127">
        <f>'A-C &amp; Heat Pumps'!L54*'A-C &amp; Heat Pumps'!N54</f>
        <v>0</v>
      </c>
      <c r="D51" s="127">
        <f>'A-C &amp; Heat Pumps'!M54*'A-C &amp; Heat Pumps'!O54</f>
        <v>0</v>
      </c>
      <c r="E51" s="231" t="e">
        <f t="shared" si="0"/>
        <v>#DIV/0!</v>
      </c>
      <c r="F51" s="126" t="e">
        <f>B51/'HVAC Calcs'!C51</f>
        <v>#DIV/0!</v>
      </c>
      <c r="G51" s="126" t="e">
        <f>B51/'HVAC Calcs'!D51</f>
        <v>#DIV/0!</v>
      </c>
      <c r="H51" s="125" t="e">
        <f t="shared" si="1"/>
        <v>#DIV/0!</v>
      </c>
      <c r="I51" s="148" t="e">
        <f>VLOOKUP('A-C &amp; Heat Pumps'!$E$4,References!$N$103:$Q$115,2,FALSE)</f>
        <v>#N/A</v>
      </c>
      <c r="J51" s="148" t="e">
        <f>VLOOKUP('A-C &amp; Heat Pumps'!$E$4,References!$N$103:$Q$115,3,FALSE)</f>
        <v>#N/A</v>
      </c>
      <c r="K51" s="100" t="e">
        <f>VLOOKUP('A-C &amp; Heat Pumps'!$E$4,References!$N$103:$Q$112,4,FALSE)</f>
        <v>#N/A</v>
      </c>
      <c r="M51" s="128" t="e">
        <f t="shared" si="2"/>
        <v>#N/A</v>
      </c>
      <c r="N51" s="115" t="e">
        <f>IF('A-C &amp; Heat Pumps'!$C54&gt;References!$F$12,B51/1000*J51*H51,0)</f>
        <v>#N/A</v>
      </c>
      <c r="O51" s="120" t="e">
        <f t="shared" si="3"/>
        <v>#DIV/0!</v>
      </c>
      <c r="Q51" s="121"/>
    </row>
    <row r="52" spans="1:17" ht="15" x14ac:dyDescent="0.25">
      <c r="A52">
        <v>50</v>
      </c>
      <c r="B52" s="128">
        <f>'A-C &amp; Heat Pumps'!G55*12000</f>
        <v>0</v>
      </c>
      <c r="C52" s="127">
        <f>'A-C &amp; Heat Pumps'!L55*'A-C &amp; Heat Pumps'!N55</f>
        <v>0</v>
      </c>
      <c r="D52" s="127">
        <f>'A-C &amp; Heat Pumps'!M55*'A-C &amp; Heat Pumps'!O55</f>
        <v>0</v>
      </c>
      <c r="E52" s="231" t="e">
        <f t="shared" si="0"/>
        <v>#DIV/0!</v>
      </c>
      <c r="F52" s="126" t="e">
        <f>B52/'HVAC Calcs'!C52</f>
        <v>#DIV/0!</v>
      </c>
      <c r="G52" s="126" t="e">
        <f>B52/'HVAC Calcs'!D52</f>
        <v>#DIV/0!</v>
      </c>
      <c r="H52" s="125" t="e">
        <f t="shared" si="1"/>
        <v>#DIV/0!</v>
      </c>
      <c r="I52" s="148" t="e">
        <f>VLOOKUP('A-C &amp; Heat Pumps'!$E$4,References!$N$103:$Q$115,2,FALSE)</f>
        <v>#N/A</v>
      </c>
      <c r="J52" s="148" t="e">
        <f>VLOOKUP('A-C &amp; Heat Pumps'!$E$4,References!$N$103:$Q$115,3,FALSE)</f>
        <v>#N/A</v>
      </c>
      <c r="K52" s="100" t="e">
        <f>VLOOKUP('A-C &amp; Heat Pumps'!$E$4,References!$N$103:$Q$112,4,FALSE)</f>
        <v>#N/A</v>
      </c>
      <c r="M52" s="128" t="e">
        <f t="shared" si="2"/>
        <v>#N/A</v>
      </c>
      <c r="N52" s="115" t="e">
        <f>IF('A-C &amp; Heat Pumps'!$C55&gt;References!$F$12,B52/1000*J52*H52,0)</f>
        <v>#N/A</v>
      </c>
      <c r="O52" s="120" t="e">
        <f t="shared" si="3"/>
        <v>#DIV/0!</v>
      </c>
      <c r="Q52" s="1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b5cfd83b-967a-4dd6-b4c3-395873c2352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BE389EA3527F41A12B5160341A5618" ma:contentTypeVersion="54" ma:contentTypeDescription="Create a new document." ma:contentTypeScope="" ma:versionID="ffc86f2881602955b170c724c926df9a">
  <xsd:schema xmlns:xsd="http://www.w3.org/2001/XMLSchema" xmlns:xs="http://www.w3.org/2001/XMLSchema" xmlns:p="http://schemas.microsoft.com/office/2006/metadata/properties" xmlns:ns2="b5cfd83b-967a-4dd6-b4c3-395873c23523" xmlns:ns3="08b87bea-166c-4b49-8da3-b6b44dc13847" xmlns:ns4="6b2b484f-4c19-4c24-b89d-0399ef7e60bb" targetNamespace="http://schemas.microsoft.com/office/2006/metadata/properties" ma:root="true" ma:fieldsID="cf7b7ef6dae34e3a1b45c3159704dfce" ns2:_="" ns3:_="" ns4:_="">
    <xsd:import namespace="b5cfd83b-967a-4dd6-b4c3-395873c23523"/>
    <xsd:import namespace="08b87bea-166c-4b49-8da3-b6b44dc13847"/>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fd83b-967a-4dd6-b4c3-395873c235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87bea-166c-4b49-8da3-b6b44dc138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af5a3b8-19fe-4aaf-8551-0b725c993cda"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6706F-DDF4-41B7-B137-65BA3C1C0B7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405923a6-f60e-469d-8560-ac7b1a3d2c54"/>
    <ds:schemaRef ds:uri="http://schemas.microsoft.com/office/infopath/2007/PartnerControls"/>
    <ds:schemaRef ds:uri="753b216e-e208-4445-90b7-cb0adfe82f5c"/>
    <ds:schemaRef ds:uri="http://www.w3.org/XML/1998/namespace"/>
  </ds:schemaRefs>
</ds:datastoreItem>
</file>

<file path=customXml/itemProps2.xml><?xml version="1.0" encoding="utf-8"?>
<ds:datastoreItem xmlns:ds="http://schemas.openxmlformats.org/officeDocument/2006/customXml" ds:itemID="{83CE55B3-B9F2-4DEF-875C-C1CB30F11A5E}"/>
</file>

<file path=customXml/itemProps3.xml><?xml version="1.0" encoding="utf-8"?>
<ds:datastoreItem xmlns:ds="http://schemas.openxmlformats.org/officeDocument/2006/customXml" ds:itemID="{32E50F1C-15DA-45E9-ACE8-A9BF452DD6F1}">
  <ds:schemaRefs>
    <ds:schemaRef ds:uri="Microsoft.SharePoint.Taxonomy.ContentTypeSync"/>
  </ds:schemaRefs>
</ds:datastoreItem>
</file>

<file path=customXml/itemProps4.xml><?xml version="1.0" encoding="utf-8"?>
<ds:datastoreItem xmlns:ds="http://schemas.openxmlformats.org/officeDocument/2006/customXml" ds:itemID="{B8F538E9-556C-4740-9384-70820DA6A9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45</vt:i4>
      </vt:variant>
    </vt:vector>
  </HeadingPairs>
  <TitlesOfParts>
    <vt:vector size="58" baseType="lpstr">
      <vt:lpstr>Intro</vt:lpstr>
      <vt:lpstr>Application</vt:lpstr>
      <vt:lpstr>A-C &amp; Heat Pumps</vt:lpstr>
      <vt:lpstr>Chillers</vt:lpstr>
      <vt:lpstr>Chiller Data Measurements</vt:lpstr>
      <vt:lpstr>Summary</vt:lpstr>
      <vt:lpstr>Completion</vt:lpstr>
      <vt:lpstr>References</vt:lpstr>
      <vt:lpstr>HVAC Calcs</vt:lpstr>
      <vt:lpstr>Caps</vt:lpstr>
      <vt:lpstr>QC</vt:lpstr>
      <vt:lpstr>Proj Data</vt:lpstr>
      <vt:lpstr>APTracks Export Data</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Chillers!List_Program_Names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Kurtz, Spencer</cp:lastModifiedBy>
  <cp:revision/>
  <dcterms:created xsi:type="dcterms:W3CDTF">2017-02-21T18:38:33Z</dcterms:created>
  <dcterms:modified xsi:type="dcterms:W3CDTF">2025-01-08T18:51:47Z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0x01010031BE389EA3527F41A12B5160341A5618</vt:lpwstr>
  </property>
  <property fmtid="{D5CDD505-2E9C-101B-9397-08002B2CF9AE}" pid="3" name="MediaServiceImageTags">
    <vt:lpwstr/>
  </property>
</Properties>
</file>